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Parsons/Dropbox (MIT)/3 research/01 LCEC nuclear/03 Diablo/notes Diablo license renewal/Reconciliation/"/>
    </mc:Choice>
  </mc:AlternateContent>
  <xr:revisionPtr revIDLastSave="0" documentId="8_{7C0E400E-118E-9145-A3D4-865C3F1010D7}" xr6:coauthVersionLast="45" xr6:coauthVersionMax="45" xr10:uidLastSave="{00000000-0000-0000-0000-000000000000}"/>
  <bookViews>
    <workbookView xWindow="29560" yWindow="460" windowWidth="20560" windowHeight="17540" firstSheet="4" activeTab="7" xr2:uid="{618949E7-A240-4F42-8596-A139FEEC6C9B}"/>
  </bookViews>
  <sheets>
    <sheet name="Chart 1 Reconcil" sheetId="16" r:id="rId1"/>
    <sheet name="Chart 1 Data" sheetId="14" r:id="rId2"/>
    <sheet name="Stanford MIT" sheetId="13" r:id="rId3"/>
    <sheet name="CEERT" sheetId="15" r:id="rId4"/>
    <sheet name="Chart 2 Total CF" sheetId="4" r:id="rId5"/>
    <sheet name="Chart 2 Data" sheetId="2" r:id="rId6"/>
    <sheet name="Inflation Adjustment" sheetId="9" r:id="rId7"/>
    <sheet name="Chart 3 Fuel" sheetId="8" r:id="rId8"/>
    <sheet name="Chart 3 Data" sheetId="6" r:id="rId9"/>
    <sheet name="Alloc Overhead" sheetId="18" r:id="rId10"/>
    <sheet name="CashFlowItems" sheetId="19" r:id="rId11"/>
  </sheets>
  <definedNames>
    <definedName name="_xlchart.v1.0" hidden="1">'Chart 1 Data'!$C$4:$C$12</definedName>
    <definedName name="_xlchart.v1.1" hidden="1">'Chart 1 Data'!$D$4:$D$12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9" l="1"/>
  <c r="B10" i="19"/>
  <c r="B12" i="19" s="1"/>
  <c r="B13" i="19" s="1"/>
  <c r="E30" i="2" l="1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M7" i="13"/>
  <c r="M8" i="13" s="1"/>
  <c r="M9" i="13" s="1"/>
  <c r="M10" i="13" s="1"/>
  <c r="M11" i="13" s="1"/>
  <c r="M12" i="13" s="1"/>
  <c r="M13" i="13" s="1"/>
  <c r="M14" i="13" s="1"/>
  <c r="M15" i="13" s="1"/>
  <c r="M16" i="13" s="1"/>
  <c r="M17" i="13" s="1"/>
  <c r="M18" i="13" s="1"/>
  <c r="M19" i="13" s="1"/>
  <c r="M20" i="13" s="1"/>
  <c r="M21" i="13" s="1"/>
  <c r="M22" i="13" s="1"/>
  <c r="M23" i="13" s="1"/>
  <c r="M24" i="13" s="1"/>
  <c r="M25" i="13" s="1"/>
  <c r="M26" i="13" s="1"/>
  <c r="M27" i="13" s="1"/>
  <c r="M28" i="13" s="1"/>
  <c r="M29" i="13" s="1"/>
  <c r="M30" i="13" s="1"/>
  <c r="B14" i="18"/>
  <c r="J11" i="18" s="1"/>
  <c r="B9" i="18"/>
  <c r="H11" i="18" s="1"/>
  <c r="F11" i="18"/>
  <c r="J12" i="18" l="1"/>
  <c r="J13" i="18" s="1"/>
  <c r="J14" i="18" s="1"/>
  <c r="J15" i="18" s="1"/>
  <c r="J16" i="18" s="1"/>
  <c r="J17" i="18" s="1"/>
  <c r="J18" i="18" s="1"/>
  <c r="J19" i="18" s="1"/>
  <c r="J20" i="18" s="1"/>
  <c r="J21" i="18" s="1"/>
  <c r="J22" i="18" s="1"/>
  <c r="J23" i="18" s="1"/>
  <c r="J24" i="18" s="1"/>
  <c r="J25" i="18" s="1"/>
  <c r="J26" i="18" s="1"/>
  <c r="J27" i="18" s="1"/>
  <c r="J28" i="18" s="1"/>
  <c r="J29" i="18" s="1"/>
  <c r="J30" i="18" s="1"/>
  <c r="H12" i="18"/>
  <c r="H13" i="18" s="1"/>
  <c r="H14" i="18" s="1"/>
  <c r="H15" i="18" s="1"/>
  <c r="H16" i="18" s="1"/>
  <c r="H17" i="18" s="1"/>
  <c r="H18" i="18" s="1"/>
  <c r="H19" i="18" s="1"/>
  <c r="H20" i="18" s="1"/>
  <c r="H21" i="18" s="1"/>
  <c r="H22" i="18" s="1"/>
  <c r="H23" i="18" s="1"/>
  <c r="H24" i="18" s="1"/>
  <c r="H25" i="18" s="1"/>
  <c r="H26" i="18" s="1"/>
  <c r="H27" i="18" s="1"/>
  <c r="H28" i="18" s="1"/>
  <c r="H29" i="18" s="1"/>
  <c r="H30" i="18" s="1"/>
  <c r="F12" i="18"/>
  <c r="F13" i="18" s="1"/>
  <c r="F14" i="18" s="1"/>
  <c r="F15" i="18" s="1"/>
  <c r="F16" i="18" s="1"/>
  <c r="F17" i="18" s="1"/>
  <c r="F18" i="18" s="1"/>
  <c r="F19" i="18" s="1"/>
  <c r="F20" i="18" s="1"/>
  <c r="F21" i="18" s="1"/>
  <c r="F22" i="18" s="1"/>
  <c r="F23" i="18" s="1"/>
  <c r="F24" i="18" s="1"/>
  <c r="F25" i="18" s="1"/>
  <c r="F26" i="18" s="1"/>
  <c r="F27" i="18" s="1"/>
  <c r="F28" i="18" s="1"/>
  <c r="F29" i="18" s="1"/>
  <c r="F30" i="18" s="1"/>
  <c r="C31" i="9" l="1"/>
  <c r="G31" i="9" s="1"/>
  <c r="J31" i="9" s="1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G10" i="9" s="1"/>
  <c r="J10" i="9" s="1"/>
  <c r="C9" i="9"/>
  <c r="G9" i="9" s="1"/>
  <c r="J9" i="9" s="1"/>
  <c r="C8" i="9"/>
  <c r="G8" i="9" s="1"/>
  <c r="J8" i="9" s="1"/>
  <c r="C7" i="9"/>
  <c r="G7" i="9" s="1"/>
  <c r="J7" i="9" s="1"/>
  <c r="C6" i="9"/>
  <c r="G6" i="9" s="1"/>
  <c r="J6" i="9" s="1"/>
  <c r="D11" i="9"/>
  <c r="J11" i="15" l="1"/>
  <c r="J12" i="15" s="1"/>
  <c r="J13" i="15" s="1"/>
  <c r="J14" i="15" s="1"/>
  <c r="J15" i="15" s="1"/>
  <c r="J16" i="15" s="1"/>
  <c r="J17" i="15" s="1"/>
  <c r="J18" i="15" s="1"/>
  <c r="J19" i="15" s="1"/>
  <c r="J20" i="15" s="1"/>
  <c r="J21" i="15" s="1"/>
  <c r="J22" i="15" s="1"/>
  <c r="J23" i="15" s="1"/>
  <c r="J24" i="15" s="1"/>
  <c r="J25" i="15" s="1"/>
  <c r="J26" i="15" s="1"/>
  <c r="J27" i="15" s="1"/>
  <c r="J28" i="15" s="1"/>
  <c r="J29" i="15" s="1"/>
  <c r="J30" i="15" s="1"/>
  <c r="B7" i="13"/>
  <c r="B9" i="13" l="1"/>
  <c r="N19" i="13" s="1"/>
  <c r="I27" i="13"/>
  <c r="I23" i="13"/>
  <c r="I19" i="13"/>
  <c r="I15" i="13"/>
  <c r="I11" i="13"/>
  <c r="I7" i="13"/>
  <c r="I30" i="13"/>
  <c r="I26" i="13"/>
  <c r="I22" i="13"/>
  <c r="I18" i="13"/>
  <c r="I14" i="13"/>
  <c r="I10" i="13"/>
  <c r="I6" i="13"/>
  <c r="I29" i="13"/>
  <c r="I25" i="13"/>
  <c r="I21" i="13"/>
  <c r="I17" i="13"/>
  <c r="I13" i="13"/>
  <c r="I9" i="13"/>
  <c r="I28" i="13"/>
  <c r="I24" i="13"/>
  <c r="I20" i="13"/>
  <c r="I16" i="13"/>
  <c r="I12" i="13"/>
  <c r="I8" i="13"/>
  <c r="N8" i="13"/>
  <c r="N24" i="13"/>
  <c r="N7" i="13"/>
  <c r="N12" i="13"/>
  <c r="N20" i="13"/>
  <c r="N23" i="13"/>
  <c r="N28" i="13"/>
  <c r="N16" i="13"/>
  <c r="N27" i="13"/>
  <c r="N6" i="13"/>
  <c r="N14" i="13"/>
  <c r="N17" i="13"/>
  <c r="N22" i="13"/>
  <c r="N30" i="13"/>
  <c r="N10" i="13"/>
  <c r="N13" i="13"/>
  <c r="N21" i="13"/>
  <c r="N26" i="13"/>
  <c r="N29" i="13"/>
  <c r="N18" i="13" l="1"/>
  <c r="N25" i="13"/>
  <c r="N9" i="13"/>
  <c r="J33" i="18" s="1"/>
  <c r="N11" i="13"/>
  <c r="N15" i="13"/>
  <c r="F33" i="18" l="1"/>
  <c r="H33" i="18"/>
  <c r="K37" i="15"/>
  <c r="J18" i="6" s="1"/>
  <c r="K34" i="15"/>
  <c r="L33" i="15"/>
  <c r="B18" i="13"/>
  <c r="B19" i="19" l="1"/>
  <c r="B5" i="19"/>
  <c r="L38" i="15"/>
  <c r="L35" i="15"/>
  <c r="D4" i="14" s="1"/>
  <c r="B4" i="15"/>
  <c r="B6" i="19" l="1"/>
  <c r="B7" i="19" s="1"/>
  <c r="B20" i="19"/>
  <c r="B21" i="19" s="1"/>
  <c r="L36" i="15"/>
  <c r="J17" i="6"/>
  <c r="J16" i="6" s="1"/>
  <c r="J15" i="6" s="1"/>
  <c r="J14" i="6" s="1"/>
  <c r="J19" i="6"/>
  <c r="L39" i="15"/>
  <c r="J13" i="6" l="1"/>
  <c r="J12" i="6" s="1"/>
  <c r="J11" i="6" s="1"/>
  <c r="J10" i="6" s="1"/>
  <c r="J9" i="6" s="1"/>
  <c r="J8" i="6" s="1"/>
  <c r="I8" i="6" s="1"/>
  <c r="E5" i="14"/>
  <c r="D5" i="14" s="1"/>
  <c r="E6" i="14"/>
  <c r="D6" i="14" l="1"/>
  <c r="B23" i="13" l="1"/>
  <c r="B21" i="13"/>
  <c r="B14" i="19" s="1"/>
  <c r="B15" i="19" s="1"/>
  <c r="D8" i="14" s="1"/>
  <c r="B6" i="13"/>
  <c r="D12" i="14" l="1"/>
  <c r="E11" i="14" s="1"/>
  <c r="G30" i="13"/>
  <c r="G26" i="13"/>
  <c r="G22" i="13"/>
  <c r="G18" i="13"/>
  <c r="G14" i="13"/>
  <c r="G29" i="13"/>
  <c r="G25" i="13"/>
  <c r="G21" i="13"/>
  <c r="G17" i="13"/>
  <c r="G13" i="13"/>
  <c r="G28" i="13"/>
  <c r="G24" i="13"/>
  <c r="G20" i="13"/>
  <c r="G16" i="13"/>
  <c r="G12" i="13"/>
  <c r="G27" i="13"/>
  <c r="G23" i="13"/>
  <c r="G19" i="13"/>
  <c r="G15" i="13"/>
  <c r="G11" i="13"/>
  <c r="B22" i="13"/>
  <c r="B24" i="13" s="1"/>
  <c r="J30" i="13" l="1"/>
  <c r="J29" i="13"/>
  <c r="J25" i="13"/>
  <c r="J21" i="13"/>
  <c r="J17" i="13"/>
  <c r="J13" i="13"/>
  <c r="J28" i="13"/>
  <c r="J24" i="13"/>
  <c r="J20" i="13"/>
  <c r="J16" i="13"/>
  <c r="J12" i="13"/>
  <c r="J27" i="13"/>
  <c r="J23" i="13"/>
  <c r="J19" i="13"/>
  <c r="J15" i="13"/>
  <c r="J11" i="13"/>
  <c r="J26" i="13"/>
  <c r="J22" i="13"/>
  <c r="J18" i="13"/>
  <c r="J14" i="13"/>
  <c r="N35" i="13"/>
  <c r="I35" i="13"/>
  <c r="K29" i="13"/>
  <c r="P29" i="13" s="1"/>
  <c r="K25" i="13"/>
  <c r="P25" i="13" s="1"/>
  <c r="K21" i="13"/>
  <c r="P21" i="13" s="1"/>
  <c r="K17" i="13"/>
  <c r="P17" i="13" s="1"/>
  <c r="K13" i="13"/>
  <c r="P13" i="13" s="1"/>
  <c r="K9" i="13"/>
  <c r="P9" i="13" s="1"/>
  <c r="K28" i="13"/>
  <c r="P28" i="13" s="1"/>
  <c r="K24" i="13"/>
  <c r="P24" i="13" s="1"/>
  <c r="K20" i="13"/>
  <c r="P20" i="13" s="1"/>
  <c r="K16" i="13"/>
  <c r="P16" i="13" s="1"/>
  <c r="K12" i="13"/>
  <c r="P12" i="13" s="1"/>
  <c r="K8" i="13"/>
  <c r="P8" i="13" s="1"/>
  <c r="K27" i="13"/>
  <c r="P27" i="13" s="1"/>
  <c r="K23" i="13"/>
  <c r="P23" i="13" s="1"/>
  <c r="K19" i="13"/>
  <c r="P19" i="13" s="1"/>
  <c r="K15" i="13"/>
  <c r="P15" i="13" s="1"/>
  <c r="K11" i="13"/>
  <c r="P11" i="13" s="1"/>
  <c r="K7" i="13"/>
  <c r="P7" i="13" s="1"/>
  <c r="K30" i="13"/>
  <c r="P30" i="13" s="1"/>
  <c r="K26" i="13"/>
  <c r="P26" i="13" s="1"/>
  <c r="K22" i="13"/>
  <c r="P22" i="13" s="1"/>
  <c r="K18" i="13"/>
  <c r="P18" i="13" s="1"/>
  <c r="K14" i="13"/>
  <c r="P14" i="13" s="1"/>
  <c r="K10" i="13"/>
  <c r="P10" i="13" s="1"/>
  <c r="K6" i="13"/>
  <c r="P6" i="13" s="1"/>
  <c r="E10" i="14"/>
  <c r="P34" i="13" l="1"/>
  <c r="J35" i="18"/>
  <c r="J36" i="18" s="1"/>
  <c r="H35" i="18"/>
  <c r="H36" i="18" s="1"/>
  <c r="F35" i="18"/>
  <c r="F36" i="18" s="1"/>
  <c r="K33" i="13"/>
  <c r="D11" i="14"/>
  <c r="D14" i="14"/>
  <c r="O30" i="13"/>
  <c r="C29" i="2" s="1"/>
  <c r="O26" i="13"/>
  <c r="C25" i="2" s="1"/>
  <c r="O22" i="13"/>
  <c r="C21" i="2" s="1"/>
  <c r="O18" i="13"/>
  <c r="C17" i="2" s="1"/>
  <c r="O14" i="13"/>
  <c r="C13" i="2" s="1"/>
  <c r="O21" i="13"/>
  <c r="C20" i="2" s="1"/>
  <c r="O20" i="13"/>
  <c r="C19" i="2" s="1"/>
  <c r="O12" i="13"/>
  <c r="C11" i="2" s="1"/>
  <c r="O27" i="13"/>
  <c r="C26" i="2" s="1"/>
  <c r="O23" i="13"/>
  <c r="C22" i="2" s="1"/>
  <c r="O19" i="13"/>
  <c r="C18" i="2" s="1"/>
  <c r="O11" i="13"/>
  <c r="C10" i="2" s="1"/>
  <c r="O29" i="13"/>
  <c r="C28" i="2" s="1"/>
  <c r="O17" i="13"/>
  <c r="C16" i="2" s="1"/>
  <c r="O24" i="13"/>
  <c r="C23" i="2" s="1"/>
  <c r="O16" i="13"/>
  <c r="C15" i="2" s="1"/>
  <c r="O15" i="13"/>
  <c r="C14" i="2" s="1"/>
  <c r="O28" i="13"/>
  <c r="C27" i="2" s="1"/>
  <c r="O25" i="13" l="1"/>
  <c r="O13" i="13"/>
  <c r="L39" i="18"/>
  <c r="D10" i="14"/>
  <c r="E9" i="14" s="1"/>
  <c r="L11" i="18"/>
  <c r="J33" i="13"/>
  <c r="J36" i="13" s="1"/>
  <c r="L18" i="18"/>
  <c r="L28" i="18"/>
  <c r="L20" i="18"/>
  <c r="L26" i="18"/>
  <c r="L22" i="18"/>
  <c r="L12" i="18"/>
  <c r="L14" i="18"/>
  <c r="L16" i="18"/>
  <c r="L17" i="18"/>
  <c r="L29" i="18"/>
  <c r="L27" i="18"/>
  <c r="L30" i="18"/>
  <c r="L23" i="18"/>
  <c r="L21" i="18"/>
  <c r="L15" i="18"/>
  <c r="L19" i="18"/>
  <c r="L24" i="18"/>
  <c r="L13" i="18" l="1"/>
  <c r="C12" i="2"/>
  <c r="L25" i="18"/>
  <c r="C24" i="2"/>
  <c r="O34" i="13"/>
  <c r="L33" i="18" s="1"/>
  <c r="L35" i="18" s="1"/>
  <c r="L36" i="18" s="1"/>
  <c r="O37" i="13" l="1"/>
  <c r="P31" i="9" l="1"/>
  <c r="Q31" i="9" s="1"/>
  <c r="P10" i="9"/>
  <c r="Q10" i="9" s="1"/>
  <c r="P9" i="9"/>
  <c r="Q9" i="9" s="1"/>
  <c r="P8" i="9"/>
  <c r="Q8" i="9" s="1"/>
  <c r="P7" i="9"/>
  <c r="Q7" i="9" s="1"/>
  <c r="P6" i="9"/>
  <c r="Q6" i="9" s="1"/>
  <c r="F11" i="9"/>
  <c r="G11" i="9" s="1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I11" i="9" l="1"/>
  <c r="J11" i="9" s="1"/>
  <c r="L11" i="9"/>
  <c r="D12" i="9"/>
  <c r="D13" i="9" s="1"/>
  <c r="D14" i="9" s="1"/>
  <c r="N11" i="9" l="1"/>
  <c r="O11" i="9" s="1"/>
  <c r="L12" i="9"/>
  <c r="M11" i="9"/>
  <c r="F13" i="9"/>
  <c r="F12" i="9"/>
  <c r="D15" i="9"/>
  <c r="F14" i="9"/>
  <c r="Q11" i="9" l="1"/>
  <c r="G13" i="9"/>
  <c r="G14" i="9"/>
  <c r="M12" i="9"/>
  <c r="L13" i="9"/>
  <c r="G12" i="9"/>
  <c r="D16" i="9"/>
  <c r="F15" i="9"/>
  <c r="H14" i="9" l="1"/>
  <c r="I14" i="9"/>
  <c r="I12" i="9"/>
  <c r="I13" i="9"/>
  <c r="G15" i="9"/>
  <c r="H12" i="9"/>
  <c r="L14" i="9"/>
  <c r="M13" i="9"/>
  <c r="H13" i="9"/>
  <c r="D17" i="9"/>
  <c r="F16" i="9"/>
  <c r="J13" i="9" l="1"/>
  <c r="N13" i="9"/>
  <c r="O13" i="9" s="1"/>
  <c r="Q13" i="9" s="1"/>
  <c r="J12" i="9"/>
  <c r="N12" i="9"/>
  <c r="O12" i="9" s="1"/>
  <c r="Q12" i="9" s="1"/>
  <c r="J14" i="9"/>
  <c r="N14" i="9"/>
  <c r="O14" i="9" s="1"/>
  <c r="I15" i="9"/>
  <c r="H15" i="9"/>
  <c r="L15" i="9"/>
  <c r="M14" i="9"/>
  <c r="G16" i="9"/>
  <c r="D18" i="9"/>
  <c r="F17" i="9"/>
  <c r="J15" i="9" l="1"/>
  <c r="N15" i="9"/>
  <c r="O15" i="9" s="1"/>
  <c r="I16" i="9"/>
  <c r="Q14" i="9"/>
  <c r="G17" i="9"/>
  <c r="H16" i="9"/>
  <c r="L16" i="9"/>
  <c r="M15" i="9"/>
  <c r="D19" i="9"/>
  <c r="F18" i="9"/>
  <c r="J16" i="9" l="1"/>
  <c r="N16" i="9"/>
  <c r="O16" i="9" s="1"/>
  <c r="Q15" i="9"/>
  <c r="I17" i="9"/>
  <c r="L17" i="9"/>
  <c r="M16" i="9"/>
  <c r="G18" i="9"/>
  <c r="H17" i="9"/>
  <c r="D20" i="9"/>
  <c r="F19" i="9"/>
  <c r="Q16" i="9" l="1"/>
  <c r="J17" i="9"/>
  <c r="N17" i="9"/>
  <c r="O17" i="9" s="1"/>
  <c r="I18" i="9"/>
  <c r="G19" i="9"/>
  <c r="H18" i="9"/>
  <c r="L18" i="9"/>
  <c r="M17" i="9"/>
  <c r="D21" i="9"/>
  <c r="F20" i="9"/>
  <c r="J18" i="9" l="1"/>
  <c r="N18" i="9"/>
  <c r="O18" i="9" s="1"/>
  <c r="I19" i="9"/>
  <c r="Q17" i="9"/>
  <c r="G20" i="9"/>
  <c r="L19" i="9"/>
  <c r="M18" i="9"/>
  <c r="H19" i="9"/>
  <c r="D22" i="9"/>
  <c r="F21" i="9"/>
  <c r="J19" i="9" l="1"/>
  <c r="N19" i="9"/>
  <c r="O19" i="9" s="1"/>
  <c r="I20" i="9"/>
  <c r="Q18" i="9"/>
  <c r="G21" i="9"/>
  <c r="L20" i="9"/>
  <c r="M19" i="9"/>
  <c r="H20" i="9"/>
  <c r="D23" i="9"/>
  <c r="F22" i="9"/>
  <c r="J20" i="9" l="1"/>
  <c r="N20" i="9"/>
  <c r="O20" i="9" s="1"/>
  <c r="I21" i="9"/>
  <c r="Q19" i="9"/>
  <c r="G22" i="9"/>
  <c r="L21" i="9"/>
  <c r="M20" i="9"/>
  <c r="H21" i="9"/>
  <c r="D24" i="9"/>
  <c r="F23" i="9"/>
  <c r="Q20" i="9" l="1"/>
  <c r="J21" i="9"/>
  <c r="N21" i="9"/>
  <c r="O21" i="9" s="1"/>
  <c r="I22" i="9"/>
  <c r="G23" i="9"/>
  <c r="H22" i="9"/>
  <c r="L22" i="9"/>
  <c r="M21" i="9"/>
  <c r="D25" i="9"/>
  <c r="F24" i="9"/>
  <c r="Q21" i="9" l="1"/>
  <c r="J22" i="9"/>
  <c r="N22" i="9"/>
  <c r="O22" i="9" s="1"/>
  <c r="I23" i="9"/>
  <c r="L23" i="9"/>
  <c r="M22" i="9"/>
  <c r="G24" i="9"/>
  <c r="H23" i="9"/>
  <c r="D26" i="9"/>
  <c r="F25" i="9"/>
  <c r="Q22" i="9" l="1"/>
  <c r="J23" i="9"/>
  <c r="N23" i="9"/>
  <c r="O23" i="9" s="1"/>
  <c r="I24" i="9"/>
  <c r="G25" i="9"/>
  <c r="H24" i="9"/>
  <c r="L24" i="9"/>
  <c r="M23" i="9"/>
  <c r="D27" i="9"/>
  <c r="F26" i="9"/>
  <c r="Q23" i="9" l="1"/>
  <c r="J24" i="9"/>
  <c r="N24" i="9"/>
  <c r="O24" i="9" s="1"/>
  <c r="I25" i="9"/>
  <c r="G26" i="9"/>
  <c r="L25" i="9"/>
  <c r="M24" i="9"/>
  <c r="H25" i="9"/>
  <c r="I30" i="9" s="1"/>
  <c r="D28" i="9"/>
  <c r="F27" i="9"/>
  <c r="I28" i="9" l="1"/>
  <c r="I29" i="9"/>
  <c r="I26" i="9"/>
  <c r="I27" i="9"/>
  <c r="N27" i="9" s="1"/>
  <c r="O27" i="9" s="1"/>
  <c r="J25" i="9"/>
  <c r="N25" i="9"/>
  <c r="O25" i="9" s="1"/>
  <c r="Q24" i="9"/>
  <c r="L26" i="9"/>
  <c r="M25" i="9"/>
  <c r="G27" i="9"/>
  <c r="D29" i="9"/>
  <c r="F28" i="9"/>
  <c r="J27" i="9" l="1"/>
  <c r="N28" i="9"/>
  <c r="O28" i="9" s="1"/>
  <c r="N26" i="9"/>
  <c r="O26" i="9" s="1"/>
  <c r="J26" i="9"/>
  <c r="P26" i="9" s="1"/>
  <c r="N30" i="9"/>
  <c r="O30" i="9" s="1"/>
  <c r="N29" i="9"/>
  <c r="O29" i="9" s="1"/>
  <c r="Q25" i="9"/>
  <c r="G28" i="9"/>
  <c r="J28" i="9" s="1"/>
  <c r="L27" i="9"/>
  <c r="M26" i="9"/>
  <c r="D30" i="9"/>
  <c r="F30" i="9" s="1"/>
  <c r="F29" i="9"/>
  <c r="Q26" i="9" l="1"/>
  <c r="L28" i="9"/>
  <c r="M27" i="9"/>
  <c r="P27" i="9"/>
  <c r="G29" i="9"/>
  <c r="J29" i="9" s="1"/>
  <c r="G30" i="9"/>
  <c r="J30" i="9" s="1"/>
  <c r="P28" i="9" l="1"/>
  <c r="Q27" i="9"/>
  <c r="L29" i="9"/>
  <c r="M28" i="9"/>
  <c r="Q28" i="9" l="1"/>
  <c r="P30" i="9"/>
  <c r="L30" i="9"/>
  <c r="M30" i="9" s="1"/>
  <c r="M29" i="9"/>
  <c r="P29" i="9"/>
  <c r="Q29" i="9" l="1"/>
  <c r="Q30" i="9"/>
  <c r="Q33" i="9" s="1"/>
  <c r="C6" i="6"/>
  <c r="F14" i="6"/>
  <c r="F15" i="6" s="1"/>
  <c r="F16" i="6" s="1"/>
  <c r="F17" i="6" s="1"/>
  <c r="F18" i="6" s="1"/>
  <c r="F19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Q38" i="9" l="1"/>
  <c r="Q39" i="9" s="1"/>
  <c r="K19" i="6"/>
  <c r="E7" i="14" l="1"/>
  <c r="Q40" i="9"/>
  <c r="K20" i="6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 s="1"/>
  <c r="K35" i="6" s="1"/>
  <c r="K36" i="6" s="1"/>
  <c r="K37" i="6" s="1"/>
  <c r="K38" i="6" s="1"/>
  <c r="F29" i="2"/>
  <c r="D7" i="14" l="1"/>
  <c r="E8" i="14"/>
  <c r="D9" i="14" s="1"/>
</calcChain>
</file>

<file path=xl/sharedStrings.xml><?xml version="1.0" encoding="utf-8"?>
<sst xmlns="http://schemas.openxmlformats.org/spreadsheetml/2006/main" count="174" uniqueCount="131">
  <si>
    <t>CEERT</t>
  </si>
  <si>
    <t>Stanford/MIT</t>
  </si>
  <si>
    <t>Stanford MIT</t>
  </si>
  <si>
    <t>(2020 $)</t>
  </si>
  <si>
    <t>(Nominal $ @ 2% inflation)</t>
  </si>
  <si>
    <t>Historical</t>
  </si>
  <si>
    <t>Fuel Cost per Unit, Nominal $/MWh</t>
  </si>
  <si>
    <t>Refuel O&amp;M</t>
  </si>
  <si>
    <t>Non-Refuel</t>
  </si>
  <si>
    <t>Factor</t>
  </si>
  <si>
    <t>Decomposition, extra inflation removed</t>
  </si>
  <si>
    <t>Generation</t>
  </si>
  <si>
    <t>Base O&amp;M</t>
  </si>
  <si>
    <t>Admin</t>
  </si>
  <si>
    <t>Fuel</t>
  </si>
  <si>
    <t>Spent Fuel</t>
  </si>
  <si>
    <t>M&amp;S Inventory</t>
  </si>
  <si>
    <t>Fuel Inventory</t>
  </si>
  <si>
    <t>Capital Additions</t>
  </si>
  <si>
    <t>Subtotal</t>
  </si>
  <si>
    <t>Stanford/MIT data</t>
  </si>
  <si>
    <t>Capacity (MW)</t>
  </si>
  <si>
    <t>Capacity Factor</t>
  </si>
  <si>
    <t>Annual Generation (TWh)</t>
  </si>
  <si>
    <t>historical</t>
  </si>
  <si>
    <t>license extension</t>
  </si>
  <si>
    <t>intake</t>
  </si>
  <si>
    <t>life extension</t>
  </si>
  <si>
    <t>total</t>
  </si>
  <si>
    <t>total excl intake</t>
  </si>
  <si>
    <t>Stanf/MIT</t>
  </si>
  <si>
    <t>fuel</t>
  </si>
  <si>
    <t>Costs</t>
  </si>
  <si>
    <t>2020 $</t>
  </si>
  <si>
    <t>2024 $</t>
  </si>
  <si>
    <t>CEERT data</t>
  </si>
  <si>
    <t>Nominal $, Low Base Case, Tables 5 and 9</t>
  </si>
  <si>
    <t>Inflation rate, 2020-2024</t>
  </si>
  <si>
    <t>Price index factor</t>
  </si>
  <si>
    <t>Refueling O&amp;M</t>
  </si>
  <si>
    <t>Employee Benefits</t>
  </si>
  <si>
    <t>Administrative Overhead</t>
  </si>
  <si>
    <t>Insurance</t>
  </si>
  <si>
    <t>Fuel Disposal</t>
  </si>
  <si>
    <t>Relicensing</t>
  </si>
  <si>
    <t>Low Base Case Total</t>
  </si>
  <si>
    <t>capital additions</t>
  </si>
  <si>
    <t>Fuel Cost</t>
  </si>
  <si>
    <t>production expenses</t>
  </si>
  <si>
    <t>product. exp. excl. fuel</t>
  </si>
  <si>
    <t>Factors</t>
  </si>
  <si>
    <t>Real Discount Rate</t>
  </si>
  <si>
    <t>Nominal Discount Rate</t>
  </si>
  <si>
    <t>NPV to 2024 @ 6.11%</t>
  </si>
  <si>
    <t>Nominal</t>
  </si>
  <si>
    <t>Inflation</t>
  </si>
  <si>
    <t>Cash Flow</t>
  </si>
  <si>
    <t>Schedule</t>
  </si>
  <si>
    <t>Benefits</t>
  </si>
  <si>
    <t>LCOE generation factor</t>
  </si>
  <si>
    <t>LCOE (2024 $)</t>
  </si>
  <si>
    <t>LCOE (2020 $)</t>
  </si>
  <si>
    <t>LCOE, CEERT (2024 $)</t>
  </si>
  <si>
    <t>LCOE, CEERT (2020 $)</t>
  </si>
  <si>
    <t>LCOE, corrected (2024 $)</t>
  </si>
  <si>
    <t>LCOE, corrected (2020 $)</t>
  </si>
  <si>
    <t>LCOE generation factor, CEERT</t>
  </si>
  <si>
    <t>LCOE generation factor, corrected</t>
  </si>
  <si>
    <t>Inflation Rate (match CEERT)</t>
  </si>
  <si>
    <t>Outage Count</t>
  </si>
  <si>
    <t>Refuel O&amp;M per Outage</t>
  </si>
  <si>
    <t>Early/Late Capital Additions</t>
  </si>
  <si>
    <t>Annual Growth Non-Refuel, 2026-2039</t>
  </si>
  <si>
    <t>Total Cash Flow</t>
  </si>
  <si>
    <t>Non-Refuel Bogey</t>
  </si>
  <si>
    <t>adjusted Refuel O&amp;M per Outage</t>
  </si>
  <si>
    <t>adjusted Refuel O&amp;M</t>
  </si>
  <si>
    <t>inflation factor    Non-Refuel</t>
  </si>
  <si>
    <t>adjusted Non-Refuel Bogey</t>
  </si>
  <si>
    <t>Decomposition, CEERT Table 9 cash flows</t>
  </si>
  <si>
    <t>[1]</t>
  </si>
  <si>
    <t>[2]</t>
  </si>
  <si>
    <t>[3]</t>
  </si>
  <si>
    <t>adjusted Total</t>
  </si>
  <si>
    <t>change</t>
  </si>
  <si>
    <t>Price</t>
  </si>
  <si>
    <t>of</t>
  </si>
  <si>
    <t>Electricity</t>
  </si>
  <si>
    <t>Cost of Intake</t>
  </si>
  <si>
    <t>Allocated Overhead Items</t>
  </si>
  <si>
    <t>Unaccounted for</t>
  </si>
  <si>
    <t>Different Baseline Values</t>
  </si>
  <si>
    <t>Correct LCOE Calculation</t>
  </si>
  <si>
    <t>Convert 2024$ to 2020$</t>
  </si>
  <si>
    <t>Substantive Discrepancy</t>
  </si>
  <si>
    <t>Allocated Overhead Inputs</t>
  </si>
  <si>
    <t>CEERT Insurance, million $ 2017</t>
  </si>
  <si>
    <t>property insurance</t>
  </si>
  <si>
    <t>liability insurance</t>
  </si>
  <si>
    <t>CEERT Admin. Overhead, million $ 2017</t>
  </si>
  <si>
    <t>CEERT Benefits, million $ 2017</t>
  </si>
  <si>
    <t>total benefits</t>
  </si>
  <si>
    <t>overhead accounts</t>
  </si>
  <si>
    <t>Diablo specific accounts</t>
  </si>
  <si>
    <t>delta LCOE (2020 $)</t>
  </si>
  <si>
    <t>Calculations</t>
  </si>
  <si>
    <t>to 2024</t>
  </si>
  <si>
    <t>from 2024</t>
  </si>
  <si>
    <t>Discount</t>
  </si>
  <si>
    <t>Cash</t>
  </si>
  <si>
    <t>Flow</t>
  </si>
  <si>
    <t>Real (2020 $)</t>
  </si>
  <si>
    <t>NPV</t>
  </si>
  <si>
    <t>NPV to 2024</t>
  </si>
  <si>
    <t>NPV to 2020</t>
  </si>
  <si>
    <t>Cost</t>
  </si>
  <si>
    <t xml:space="preserve"> to 2020</t>
  </si>
  <si>
    <t>from 2020</t>
  </si>
  <si>
    <t>Chart Data</t>
  </si>
  <si>
    <t>Unit Cost, 2024 $</t>
  </si>
  <si>
    <t>NPV (from CEERT Table 5)</t>
  </si>
  <si>
    <t>Difference from Stanford/MIT</t>
  </si>
  <si>
    <t>Convert to 2020 $</t>
  </si>
  <si>
    <t>Cost, 2014 $, per CEERT</t>
  </si>
  <si>
    <t>Escalation factor to 2020</t>
  </si>
  <si>
    <t>Cost, 2020 $</t>
  </si>
  <si>
    <t>Ratio to Stanford/MIT</t>
  </si>
  <si>
    <t>Unit Cost, 2020 $</t>
  </si>
  <si>
    <t>Unit Costs</t>
  </si>
  <si>
    <t>($/MWh)</t>
  </si>
  <si>
    <t>($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</si>
</sst>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164" formatCode="0.0"/>
    <numFmt numFmtId="165" formatCode="0.000"/>
    <numFmt numFmtId="166" formatCode="#,##0.000_);\(#,##0.000\)"/>
    <numFmt numFmtId="167" formatCode="#,##0.000"/>
    <numFmt numFmtId="168" formatCode="0.0000_);\(0.0000\)"/>
    <numFmt numFmtId="169" formatCode="0.00_);\(0.00\)"/>
    <numFmt numFmtId="170" formatCode="0.0_);\(0.0\)"/>
  </numFmts>
  <fonts count="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432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2" fontId="0" fillId="0" borderId="0" xfId="0" applyNumberFormat="1"/>
    <xf numFmtId="9" fontId="0" fillId="0" borderId="0" xfId="1" applyFont="1"/>
    <xf numFmtId="37" fontId="0" fillId="0" borderId="0" xfId="0" applyNumberFormat="1"/>
    <xf numFmtId="6" fontId="0" fillId="0" borderId="0" xfId="0" quotePrefix="1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Continuous" wrapText="1"/>
    </xf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wrapText="1" indent="2"/>
    </xf>
    <xf numFmtId="10" fontId="0" fillId="0" borderId="0" xfId="1" applyNumberFormat="1" applyFont="1"/>
    <xf numFmtId="3" fontId="0" fillId="0" borderId="0" xfId="0" applyNumberFormat="1" applyFill="1"/>
    <xf numFmtId="37" fontId="0" fillId="0" borderId="0" xfId="0" applyNumberFormat="1" applyFill="1"/>
    <xf numFmtId="10" fontId="0" fillId="0" borderId="0" xfId="1" applyNumberFormat="1" applyFont="1" applyFill="1"/>
    <xf numFmtId="165" fontId="0" fillId="0" borderId="0" xfId="0" applyNumberFormat="1"/>
    <xf numFmtId="166" fontId="0" fillId="0" borderId="0" xfId="0" applyNumberFormat="1"/>
    <xf numFmtId="4" fontId="0" fillId="0" borderId="0" xfId="0" applyNumberFormat="1"/>
    <xf numFmtId="9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3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"/>
    </xf>
    <xf numFmtId="2" fontId="0" fillId="0" borderId="0" xfId="0" applyNumberFormat="1" applyAlignment="1">
      <alignment horizontal="right" indent="1"/>
    </xf>
    <xf numFmtId="0" fontId="0" fillId="0" borderId="0" xfId="0" applyAlignment="1">
      <alignment horizontal="right" indent="1"/>
    </xf>
    <xf numFmtId="164" fontId="0" fillId="0" borderId="0" xfId="0" applyNumberFormat="1" applyAlignment="1">
      <alignment horizontal="right" indent="1"/>
    </xf>
    <xf numFmtId="0" fontId="0" fillId="0" borderId="0" xfId="0" applyBorder="1" applyAlignment="1">
      <alignment horizontal="center"/>
    </xf>
    <xf numFmtId="167" fontId="0" fillId="0" borderId="0" xfId="0" applyNumberFormat="1"/>
    <xf numFmtId="37" fontId="0" fillId="0" borderId="0" xfId="0" applyNumberFormat="1" applyAlignment="1">
      <alignment horizontal="right" indent="1"/>
    </xf>
    <xf numFmtId="37" fontId="0" fillId="0" borderId="1" xfId="0" applyNumberFormat="1" applyBorder="1" applyAlignment="1">
      <alignment horizontal="right" indent="1"/>
    </xf>
    <xf numFmtId="39" fontId="0" fillId="0" borderId="0" xfId="0" applyNumberFormat="1" applyAlignment="1">
      <alignment horizontal="right" indent="1"/>
    </xf>
    <xf numFmtId="0" fontId="0" fillId="0" borderId="0" xfId="0" applyAlignment="1">
      <alignment horizontal="right"/>
    </xf>
    <xf numFmtId="0" fontId="0" fillId="0" borderId="0" xfId="0" applyAlignment="1">
      <alignment horizontal="left" indent="6"/>
    </xf>
    <xf numFmtId="2" fontId="2" fillId="0" borderId="0" xfId="0" applyNumberFormat="1" applyFont="1" applyAlignment="1">
      <alignment horizontal="right" indent="1"/>
    </xf>
    <xf numFmtId="168" fontId="0" fillId="0" borderId="0" xfId="0" applyNumberFormat="1"/>
    <xf numFmtId="169" fontId="0" fillId="0" borderId="0" xfId="0" applyNumberFormat="1"/>
    <xf numFmtId="6" fontId="0" fillId="0" borderId="1" xfId="0" quotePrefix="1" applyNumberFormat="1" applyBorder="1" applyAlignment="1">
      <alignment horizontal="center" wrapText="1"/>
    </xf>
    <xf numFmtId="9" fontId="0" fillId="0" borderId="1" xfId="0" quotePrefix="1" applyNumberFormat="1" applyBorder="1" applyAlignment="1">
      <alignment horizontal="center"/>
    </xf>
    <xf numFmtId="39" fontId="0" fillId="0" borderId="0" xfId="0" applyNumberFormat="1"/>
    <xf numFmtId="0" fontId="0" fillId="0" borderId="1" xfId="0" applyBorder="1"/>
    <xf numFmtId="9" fontId="0" fillId="0" borderId="1" xfId="0" applyNumberFormat="1" applyBorder="1" applyAlignment="1">
      <alignment horizontal="center"/>
    </xf>
    <xf numFmtId="0" fontId="0" fillId="0" borderId="2" xfId="0" applyBorder="1"/>
    <xf numFmtId="168" fontId="0" fillId="0" borderId="1" xfId="0" applyNumberFormat="1" applyBorder="1"/>
    <xf numFmtId="169" fontId="0" fillId="0" borderId="2" xfId="0" applyNumberFormat="1" applyBorder="1"/>
    <xf numFmtId="0" fontId="0" fillId="0" borderId="2" xfId="0" applyBorder="1" applyAlignment="1">
      <alignment horizontal="left" indent="1"/>
    </xf>
    <xf numFmtId="2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0" fontId="0" fillId="0" borderId="0" xfId="0" applyFill="1" applyAlignment="1">
      <alignment horizontal="center"/>
    </xf>
    <xf numFmtId="4" fontId="3" fillId="0" borderId="0" xfId="0" applyNumberFormat="1" applyFont="1" applyAlignment="1">
      <alignment horizontal="right" indent="2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Continuous" wrapText="1"/>
    </xf>
    <xf numFmtId="0" fontId="0" fillId="0" borderId="2" xfId="0" applyBorder="1" applyAlignment="1">
      <alignment horizontal="right"/>
    </xf>
    <xf numFmtId="4" fontId="0" fillId="0" borderId="0" xfId="0" applyNumberFormat="1" applyAlignment="1">
      <alignment horizontal="right" wrapText="1"/>
    </xf>
    <xf numFmtId="4" fontId="3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 wrapText="1" indent="1"/>
    </xf>
    <xf numFmtId="4" fontId="0" fillId="0" borderId="0" xfId="0" applyNumberFormat="1" applyAlignment="1">
      <alignment horizontal="right" indent="1"/>
    </xf>
    <xf numFmtId="4" fontId="3" fillId="0" borderId="0" xfId="0" applyNumberFormat="1" applyFont="1" applyAlignment="1">
      <alignment horizontal="right" indent="1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 indent="1"/>
    </xf>
    <xf numFmtId="2" fontId="0" fillId="0" borderId="0" xfId="0" applyNumberFormat="1" applyAlignment="1">
      <alignment horizontal="right"/>
    </xf>
    <xf numFmtId="2" fontId="3" fillId="0" borderId="0" xfId="0" applyNumberFormat="1" applyFont="1"/>
    <xf numFmtId="169" fontId="0" fillId="0" borderId="0" xfId="0" applyNumberFormat="1" applyAlignment="1">
      <alignment horizontal="right" indent="1"/>
    </xf>
    <xf numFmtId="169" fontId="0" fillId="0" borderId="1" xfId="0" applyNumberFormat="1" applyBorder="1" applyAlignment="1">
      <alignment horizontal="right" indent="1"/>
    </xf>
    <xf numFmtId="0" fontId="0" fillId="0" borderId="0" xfId="0" applyBorder="1"/>
    <xf numFmtId="0" fontId="0" fillId="0" borderId="0" xfId="0" applyAlignment="1">
      <alignment horizontal="left" indent="2"/>
    </xf>
    <xf numFmtId="170" fontId="0" fillId="0" borderId="0" xfId="0" applyNumberFormat="1"/>
    <xf numFmtId="1" fontId="0" fillId="0" borderId="1" xfId="0" quotePrefix="1" applyNumberFormat="1" applyBorder="1" applyAlignment="1">
      <alignment horizontal="center"/>
    </xf>
    <xf numFmtId="0" fontId="0" fillId="0" borderId="1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6" fontId="0" fillId="0" borderId="0" xfId="0" quotePrefix="1" applyNumberFormat="1" applyBorder="1" applyAlignment="1">
      <alignment horizontal="center" wrapText="1"/>
    </xf>
    <xf numFmtId="169" fontId="0" fillId="0" borderId="0" xfId="0" applyNumberFormat="1" applyAlignment="1"/>
    <xf numFmtId="0" fontId="0" fillId="0" borderId="0" xfId="0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37" fontId="0" fillId="0" borderId="1" xfId="0" applyNumberFormat="1" applyBorder="1"/>
    <xf numFmtId="37" fontId="0" fillId="0" borderId="1" xfId="0" applyNumberFormat="1" applyFill="1" applyBorder="1"/>
    <xf numFmtId="9" fontId="0" fillId="0" borderId="2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8AD8"/>
      <color rgb="FF0432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5.xml"/><Relationship Id="rId12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8.xml"/><Relationship Id="rId5" Type="http://schemas.openxmlformats.org/officeDocument/2006/relationships/chartsheet" Target="chartsheets/sheet2.xml"/><Relationship Id="rId15" Type="http://schemas.openxmlformats.org/officeDocument/2006/relationships/calcChain" Target="calcChain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 b="1" i="0" u="none" strike="noStrike" baseline="0">
                <a:solidFill>
                  <a:schemeClr val="tx1"/>
                </a:solidFill>
                <a:effectLst/>
              </a:rPr>
              <a:t>A Comparison of the Stanford/MIT and the CEERT Cash Flows</a:t>
            </a:r>
          </a:p>
          <a:p>
            <a:pPr>
              <a:defRPr sz="2000" b="1">
                <a:solidFill>
                  <a:schemeClr val="tx1"/>
                </a:solidFill>
              </a:defRPr>
            </a:pPr>
            <a:r>
              <a:rPr lang="en-US" sz="2000" b="1" i="0" u="none" strike="noStrike" baseline="0">
                <a:solidFill>
                  <a:schemeClr val="tx1"/>
                </a:solidFill>
                <a:effectLst/>
              </a:rPr>
              <a:t>(Nominal $ 000)</a:t>
            </a:r>
            <a:r>
              <a:rPr lang="en-US" sz="2000" b="1" i="0" u="none" strike="noStrike" baseline="0">
                <a:solidFill>
                  <a:schemeClr val="tx1"/>
                </a:solidFill>
              </a:rPr>
              <a:t> </a:t>
            </a:r>
            <a:endParaRPr lang="en-US" sz="2000" b="1" i="0" baseline="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7.3946570558108105E-2"/>
          <c:y val="2.423301089436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313361598930435"/>
          <c:y val="0.15669678620028615"/>
          <c:w val="0.6640944144041212"/>
          <c:h val="0.78032409902969369"/>
        </c:manualLayout>
      </c:layout>
      <c:barChart>
        <c:barDir val="col"/>
        <c:grouping val="clustered"/>
        <c:varyColors val="0"/>
        <c:ser>
          <c:idx val="3"/>
          <c:order val="0"/>
          <c:tx>
            <c:v>Stanford/MIT</c:v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'Chart 2 Data'!$A$5:$A$30</c:f>
              <c:numCache>
                <c:formatCode>General</c:formatCode>
                <c:ptCount val="2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</c:numCache>
            </c:numRef>
          </c:cat>
          <c:val>
            <c:numRef>
              <c:f>'Chart 2 Data'!$C$5:$C$30</c:f>
              <c:numCache>
                <c:formatCode>General</c:formatCode>
                <c:ptCount val="26"/>
                <c:pt idx="5" formatCode="#,##0">
                  <c:v>787553.25299854937</c:v>
                </c:pt>
                <c:pt idx="6" formatCode="#,##0">
                  <c:v>803304.31805852032</c:v>
                </c:pt>
                <c:pt idx="7" formatCode="#,##0">
                  <c:v>819370.40441969072</c:v>
                </c:pt>
                <c:pt idx="8" formatCode="#,##0">
                  <c:v>835757.81250808469</c:v>
                </c:pt>
                <c:pt idx="9" formatCode="#,##0">
                  <c:v>852472.9687582464</c:v>
                </c:pt>
                <c:pt idx="10" formatCode="#,##0">
                  <c:v>869522.42813341133</c:v>
                </c:pt>
                <c:pt idx="11" formatCode="#,##0">
                  <c:v>886912.8766960795</c:v>
                </c:pt>
                <c:pt idx="12" formatCode="#,##0">
                  <c:v>904651.13423000113</c:v>
                </c:pt>
                <c:pt idx="13" formatCode="#,##0">
                  <c:v>922744.1569146011</c:v>
                </c:pt>
                <c:pt idx="14" formatCode="#,##0">
                  <c:v>941199.04005289322</c:v>
                </c:pt>
                <c:pt idx="15" formatCode="#,##0">
                  <c:v>960023.02085395111</c:v>
                </c:pt>
                <c:pt idx="16" formatCode="#,##0">
                  <c:v>979223.48127103015</c:v>
                </c:pt>
                <c:pt idx="17" formatCode="#,##0">
                  <c:v>998807.95089645078</c:v>
                </c:pt>
                <c:pt idx="18" formatCode="#,##0">
                  <c:v>1018784.1099143798</c:v>
                </c:pt>
                <c:pt idx="19" formatCode="#,##0">
                  <c:v>1039159.7921126673</c:v>
                </c:pt>
                <c:pt idx="20" formatCode="#,##0">
                  <c:v>1059942.9879549209</c:v>
                </c:pt>
                <c:pt idx="21" formatCode="#,##0">
                  <c:v>1081141.8477140192</c:v>
                </c:pt>
                <c:pt idx="22" formatCode="#,##0">
                  <c:v>1102764.6846682997</c:v>
                </c:pt>
                <c:pt idx="23" formatCode="#,##0">
                  <c:v>1124819.9783616657</c:v>
                </c:pt>
                <c:pt idx="24" formatCode="#,##0">
                  <c:v>1147316.3779288991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39-F04F-9852-64F8DEC793A5}"/>
            </c:ext>
          </c:extLst>
        </c:ser>
        <c:ser>
          <c:idx val="5"/>
          <c:order val="1"/>
          <c:tx>
            <c:v>CEERT</c:v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'Chart 2 Data'!$A$5:$A$30</c:f>
              <c:numCache>
                <c:formatCode>General</c:formatCode>
                <c:ptCount val="2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</c:numCache>
            </c:numRef>
          </c:cat>
          <c:val>
            <c:numRef>
              <c:f>'Chart 2 Data'!$E$5:$E$30</c:f>
              <c:numCache>
                <c:formatCode>#,##0_);\(#,##0\)</c:formatCode>
                <c:ptCount val="26"/>
                <c:pt idx="0">
                  <c:v>16758</c:v>
                </c:pt>
                <c:pt idx="1">
                  <c:v>55751</c:v>
                </c:pt>
                <c:pt idx="2">
                  <c:v>123781</c:v>
                </c:pt>
                <c:pt idx="3">
                  <c:v>246166</c:v>
                </c:pt>
                <c:pt idx="4">
                  <c:v>251590</c:v>
                </c:pt>
                <c:pt idx="5">
                  <c:v>1003091</c:v>
                </c:pt>
                <c:pt idx="6">
                  <c:v>1103203</c:v>
                </c:pt>
                <c:pt idx="7">
                  <c:v>1180660</c:v>
                </c:pt>
                <c:pt idx="8">
                  <c:v>1260286</c:v>
                </c:pt>
                <c:pt idx="9">
                  <c:v>1434548</c:v>
                </c:pt>
                <c:pt idx="10">
                  <c:v>1427066</c:v>
                </c:pt>
                <c:pt idx="11">
                  <c:v>1514828</c:v>
                </c:pt>
                <c:pt idx="12">
                  <c:v>1605889</c:v>
                </c:pt>
                <c:pt idx="13">
                  <c:v>1700590</c:v>
                </c:pt>
                <c:pt idx="14">
                  <c:v>1913393</c:v>
                </c:pt>
                <c:pt idx="15">
                  <c:v>1903022</c:v>
                </c:pt>
                <c:pt idx="16">
                  <c:v>2012267</c:v>
                </c:pt>
                <c:pt idx="17">
                  <c:v>2128383</c:v>
                </c:pt>
                <c:pt idx="18">
                  <c:v>2253173</c:v>
                </c:pt>
                <c:pt idx="19">
                  <c:v>2507323</c:v>
                </c:pt>
                <c:pt idx="20">
                  <c:v>2463308</c:v>
                </c:pt>
                <c:pt idx="21">
                  <c:v>2542403</c:v>
                </c:pt>
                <c:pt idx="22">
                  <c:v>2604226</c:v>
                </c:pt>
                <c:pt idx="23">
                  <c:v>2640249</c:v>
                </c:pt>
                <c:pt idx="24">
                  <c:v>2659472</c:v>
                </c:pt>
                <c:pt idx="25">
                  <c:v>-258697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39-F04F-9852-64F8DEC79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274064"/>
        <c:axId val="1317347232"/>
      </c:barChart>
      <c:catAx>
        <c:axId val="131727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347232"/>
        <c:crosses val="autoZero"/>
        <c:auto val="1"/>
        <c:lblAlgn val="ctr"/>
        <c:lblOffset val="100"/>
        <c:tickLblSkip val="5"/>
        <c:noMultiLvlLbl val="0"/>
      </c:catAx>
      <c:valAx>
        <c:axId val="131734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27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4500456325229734"/>
          <c:y val="0.2005412039099741"/>
          <c:w val="0.16698117249554387"/>
          <c:h val="0.10232245741811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920" b="1" i="0" u="none" strike="noStrike" baseline="0">
                <a:solidFill>
                  <a:schemeClr val="tx1"/>
                </a:solidFill>
                <a:effectLst/>
              </a:rPr>
              <a:t>A Comparison of the Stanford/MIT and the CEERT</a:t>
            </a:r>
            <a:r>
              <a:rPr lang="en-US" sz="1920" b="1" i="0" u="none" strike="noStrike" baseline="0">
                <a:solidFill>
                  <a:schemeClr val="tx1"/>
                </a:solidFill>
              </a:rPr>
              <a:t> </a:t>
            </a:r>
          </a:p>
          <a:p>
            <a:pPr>
              <a:defRPr/>
            </a:pPr>
            <a:r>
              <a:rPr lang="en-US" sz="1920" b="1" i="0" u="none" strike="noStrike" baseline="0">
                <a:solidFill>
                  <a:schemeClr val="tx1"/>
                </a:solidFill>
              </a:rPr>
              <a:t>Unit </a:t>
            </a:r>
            <a:r>
              <a:rPr lang="en-US" baseline="0">
                <a:solidFill>
                  <a:schemeClr val="tx1"/>
                </a:solidFill>
              </a:rPr>
              <a:t>Fuel Cost Baselines and Projections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tar"/>
            <c:size val="10"/>
            <c:spPr>
              <a:noFill/>
              <a:ln w="25400">
                <a:solidFill>
                  <a:schemeClr val="accent3"/>
                </a:solidFill>
              </a:ln>
              <a:effectLst/>
            </c:spPr>
          </c:marker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C982-A240-8079-0AD194A20C54}"/>
              </c:ext>
            </c:extLst>
          </c:dPt>
          <c:cat>
            <c:numRef>
              <c:f>'Chart 3 Data'!$A$4:$A$24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'Chart 3 Data'!$C$4:$C$24</c:f>
              <c:numCache>
                <c:formatCode>#,##0.00</c:formatCode>
                <c:ptCount val="21"/>
                <c:pt idx="0">
                  <c:v>5.7117767435298843</c:v>
                </c:pt>
                <c:pt idx="1">
                  <c:v>6.9431483468179644</c:v>
                </c:pt>
                <c:pt idx="2">
                  <c:v>7.186476608331871</c:v>
                </c:pt>
                <c:pt idx="3">
                  <c:v>7.4298048698457775</c:v>
                </c:pt>
                <c:pt idx="4">
                  <c:v>6.7840165576571456</c:v>
                </c:pt>
                <c:pt idx="5">
                  <c:v>6.8469384992530555</c:v>
                </c:pt>
                <c:pt idx="6">
                  <c:v>6.7626196226719255</c:v>
                </c:pt>
                <c:pt idx="7">
                  <c:v>6.9754938794471553</c:v>
                </c:pt>
                <c:pt idx="8">
                  <c:v>7.0889149427960625</c:v>
                </c:pt>
                <c:pt idx="9">
                  <c:v>7.0253734770544272</c:v>
                </c:pt>
                <c:pt idx="10">
                  <c:v>6.7968326861105357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2-A240-8079-0AD194A20C54}"/>
            </c:ext>
          </c:extLst>
        </c:ser>
        <c:ser>
          <c:idx val="3"/>
          <c:order val="1"/>
          <c:spPr>
            <a:ln w="28575" cap="rnd">
              <a:solidFill>
                <a:schemeClr val="bg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'Chart 3 Data'!$A$4:$A$24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'Chart 3 Data'!$E$4:$E$24</c:f>
              <c:numCache>
                <c:formatCode>#,##0.00</c:formatCode>
                <c:ptCount val="21"/>
                <c:pt idx="10">
                  <c:v>7.1590376415989256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82-A240-8079-0AD194A20C54}"/>
            </c:ext>
          </c:extLst>
        </c:ser>
        <c:ser>
          <c:idx val="4"/>
          <c:order val="2"/>
          <c:spPr>
            <a:ln w="28575" cap="rnd">
              <a:solidFill>
                <a:srgbClr val="C00000">
                  <a:alpha val="92000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'Chart 3 Data'!$A$4:$A$24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'Chart 3 Data'!$F$4:$F$24</c:f>
              <c:numCache>
                <c:formatCode>#,##0.00</c:formatCode>
                <c:ptCount val="21"/>
                <c:pt idx="10">
                  <c:v>7.1590376415989256</c:v>
                </c:pt>
                <c:pt idx="11">
                  <c:v>7.3022183944309047</c:v>
                </c:pt>
                <c:pt idx="12">
                  <c:v>7.4482627623195228</c:v>
                </c:pt>
                <c:pt idx="13">
                  <c:v>7.5972280175659135</c:v>
                </c:pt>
                <c:pt idx="14">
                  <c:v>7.749172577917232</c:v>
                </c:pt>
                <c:pt idx="15">
                  <c:v>7.904156029475577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82-A240-8079-0AD194A20C54}"/>
            </c:ext>
          </c:extLst>
        </c:ser>
        <c:ser>
          <c:idx val="5"/>
          <c:order val="3"/>
          <c:spPr>
            <a:ln w="508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'Chart 3 Data'!$A$4:$A$24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'Chart 3 Data'!$G$4:$G$24</c:f>
              <c:numCache>
                <c:formatCode>#,##0.00</c:formatCode>
                <c:ptCount val="21"/>
                <c:pt idx="15">
                  <c:v>7.904156029475577</c:v>
                </c:pt>
                <c:pt idx="16">
                  <c:v>8.0622391500650892</c:v>
                </c:pt>
                <c:pt idx="17">
                  <c:v>8.2234839330663903</c:v>
                </c:pt>
                <c:pt idx="18">
                  <c:v>8.3879536117277187</c:v>
                </c:pt>
                <c:pt idx="19">
                  <c:v>8.5557126839622732</c:v>
                </c:pt>
                <c:pt idx="20">
                  <c:v>8.7268269376415191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82-A240-8079-0AD194A20C54}"/>
            </c:ext>
          </c:extLst>
        </c:ser>
        <c:ser>
          <c:idx val="6"/>
          <c:order val="4"/>
          <c:spPr>
            <a:ln w="28575" cap="rnd">
              <a:solidFill>
                <a:schemeClr val="bg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'Chart 3 Data'!$A$4:$A$24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'Chart 3 Data'!$I$4:$I$24</c:f>
              <c:numCache>
                <c:formatCode>#,##0.00</c:formatCode>
                <c:ptCount val="21"/>
                <c:pt idx="4">
                  <c:v>8.3248056282224479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82-A240-8079-0AD194A20C54}"/>
            </c:ext>
          </c:extLst>
        </c:ser>
        <c:ser>
          <c:idx val="7"/>
          <c:order val="5"/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'Chart 3 Data'!$A$4:$A$24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'Chart 3 Data'!$J$4:$J$24</c:f>
              <c:numCache>
                <c:formatCode>#,##0.00</c:formatCode>
                <c:ptCount val="21"/>
                <c:pt idx="4">
                  <c:v>8.3248056282224479</c:v>
                </c:pt>
                <c:pt idx="5">
                  <c:v>8.4696572461535187</c:v>
                </c:pt>
                <c:pt idx="6">
                  <c:v>8.6170292822365901</c:v>
                </c:pt>
                <c:pt idx="7">
                  <c:v>8.7669655917475069</c:v>
                </c:pt>
                <c:pt idx="8">
                  <c:v>8.9195107930439139</c:v>
                </c:pt>
                <c:pt idx="9">
                  <c:v>9.0747102808428792</c:v>
                </c:pt>
                <c:pt idx="10">
                  <c:v>9.2326102397295458</c:v>
                </c:pt>
                <c:pt idx="11">
                  <c:v>9.4172624445241375</c:v>
                </c:pt>
                <c:pt idx="12">
                  <c:v>9.6056076934146208</c:v>
                </c:pt>
                <c:pt idx="13">
                  <c:v>9.797719847282913</c:v>
                </c:pt>
                <c:pt idx="14">
                  <c:v>9.993674244228572</c:v>
                </c:pt>
                <c:pt idx="15">
                  <c:v>10.193547729113144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982-A240-8079-0AD194A20C54}"/>
            </c:ext>
          </c:extLst>
        </c:ser>
        <c:ser>
          <c:idx val="8"/>
          <c:order val="6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'Chart 3 Data'!$A$4:$A$24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'Chart 3 Data'!$K$4:$K$24</c:f>
              <c:numCache>
                <c:formatCode>#,##0.00</c:formatCode>
                <c:ptCount val="21"/>
                <c:pt idx="15">
                  <c:v>10.193547729113144</c:v>
                </c:pt>
                <c:pt idx="16">
                  <c:v>10.397418683695406</c:v>
                </c:pt>
                <c:pt idx="17">
                  <c:v>10.605367057369314</c:v>
                </c:pt>
                <c:pt idx="18">
                  <c:v>10.817474398516701</c:v>
                </c:pt>
                <c:pt idx="19">
                  <c:v>11.033823886487035</c:v>
                </c:pt>
                <c:pt idx="20">
                  <c:v>11.254500364216776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982-A240-8079-0AD194A20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4971136"/>
        <c:axId val="1360618912"/>
      </c:lineChart>
      <c:catAx>
        <c:axId val="135497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0618912"/>
        <c:crosses val="autoZero"/>
        <c:auto val="1"/>
        <c:lblAlgn val="ctr"/>
        <c:lblOffset val="100"/>
        <c:tickLblSkip val="5"/>
        <c:noMultiLvlLbl val="0"/>
      </c:catAx>
      <c:valAx>
        <c:axId val="136061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Unit Fuel Cost, Nominal $/MWh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971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 i="0" baseline="0"/>
      </a:pPr>
      <a:endParaRPr lang="en-US"/>
    </a:p>
  </c:txPr>
  <c:userShapes r:id="rId3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18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Reconciliation, CEERT and Stanford/MIT</a:t>
            </a:r>
          </a:p>
          <a:p>
            <a:pPr algn="ctr" rtl="0">
              <a:defRPr/>
            </a:pPr>
            <a:r>
              <a:rPr lang="en-US" sz="18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Cost of Electricity from Diablo Canyon Nuclear Power Plant</a:t>
            </a:r>
          </a:p>
        </cx:rich>
      </cx:tx>
      <cx:spPr>
        <a:ln>
          <a:noFill/>
        </a:ln>
      </cx:spPr>
    </cx:title>
    <cx:plotArea>
      <cx:plotAreaRegion>
        <cx:plotSurface>
          <cx:spPr>
            <a:ln>
              <a:noFill/>
            </a:ln>
          </cx:spPr>
        </cx:plotSurface>
        <cx:series layoutId="waterfall" uniqueId="{68229C52-1762-6441-84D2-A930A6397BA1}">
          <cx:dataPt idx="1">
            <cx:spPr>
              <a:solidFill>
                <a:srgbClr val="FF0000"/>
              </a:solidFill>
              <a:ln>
                <a:solidFill>
                  <a:srgbClr val="FF0000"/>
                </a:solidFill>
              </a:ln>
            </cx:spPr>
          </cx:dataPt>
          <cx:dataPt idx="2">
            <cx:spPr>
              <a:solidFill>
                <a:srgbClr val="FF0000"/>
              </a:solidFill>
              <a:ln>
                <a:solidFill>
                  <a:srgbClr val="FF0000"/>
                </a:solidFill>
              </a:ln>
            </cx:spPr>
          </cx:dataPt>
          <cx:dataPt idx="3">
            <cx:spPr>
              <a:solidFill>
                <a:srgbClr val="FF0000"/>
              </a:solidFill>
              <a:ln>
                <a:solidFill>
                  <a:srgbClr val="FF0000"/>
                </a:solidFill>
              </a:ln>
            </cx:spPr>
          </cx:dataPt>
          <cx:dataPt idx="4">
            <cx:spPr>
              <a:solidFill>
                <a:srgbClr val="FF0000"/>
              </a:solidFill>
              <a:ln>
                <a:solidFill>
                  <a:srgbClr val="FF0000"/>
                </a:solidFill>
              </a:ln>
            </cx:spPr>
          </cx:dataPt>
          <cx:dataPt idx="6">
            <cx:spPr>
              <a:solidFill>
                <a:srgbClr val="00B050"/>
              </a:solidFill>
              <a:ln>
                <a:solidFill>
                  <a:srgbClr val="00B050"/>
                </a:solidFill>
              </a:ln>
            </cx:spPr>
          </cx:dataPt>
          <cx:dataPt idx="7">
            <cx:spPr>
              <a:solidFill>
                <a:srgbClr val="FF0000"/>
              </a:solidFill>
            </cx:spPr>
          </cx:dataPt>
          <cx:dataPt idx="8">
            <cx:spPr>
              <a:solidFill>
                <a:srgbClr val="C00000"/>
              </a:solidFill>
              <a:ln>
                <a:solidFill>
                  <a:srgbClr val="C00000"/>
                </a:solidFill>
              </a:ln>
            </cx:spPr>
          </cx:dataPt>
          <cx:dataLabels pos="out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200" b="1" i="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</a:defRPr>
                </a:pPr>
                <a:endParaRPr lang="en-US" sz="1200" b="1" i="0" u="none" strike="noStrike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Calibri" panose="020F0502020204030204"/>
                </a:endParaRPr>
              </a:p>
            </cx:txPr>
            <cx:visibility seriesName="0" categoryName="0" value="1"/>
          </cx:dataLabels>
          <cx:dataId val="0"/>
          <cx:layoutPr>
            <cx:visibility connectorLines="1"/>
            <cx:subtotals>
              <cx:idx val="8"/>
            </cx:subtotals>
          </cx:layoutPr>
        </cx:series>
      </cx:plotAreaRegion>
      <cx:axis id="0">
        <cx:catScaling gapWidth="0.5"/>
        <cx:tickLabels/>
        <cx:spPr>
          <a:ln>
            <a:solidFill>
              <a:schemeClr val="tx1"/>
            </a:solidFill>
          </a:ln>
        </cx:spPr>
      </cx:axis>
      <cx:axis id="1">
        <cx:valScaling max="105"/>
        <cx:title>
          <cx:tx>
            <cx:txData>
              <cx:v>Levelized Cost of Electricity, ($/MWh)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600" b="1" i="0" u="none" strike="noStrike" baseline="0">
                  <a:solidFill>
                    <a:schemeClr val="tx1"/>
                  </a:solidFill>
                  <a:latin typeface="Calibri" panose="020F0502020204030204"/>
                </a:rPr>
                <a:t>Levelized Cost of Electricity, ($/MWh)</a:t>
              </a:r>
            </a:p>
          </cx:txPr>
        </cx:title>
        <cx:majorGridlines/>
        <cx:majorTickMarks type="out"/>
        <cx:tickLabels/>
        <cx:numFmt formatCode="#,##0" sourceLinked="0"/>
        <cx:spPr>
          <a:ln w="9525"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 b="1" i="0" baseline="0">
                <a:solidFill>
                  <a:schemeClr val="tx1"/>
                </a:solidFill>
              </a:defRPr>
            </a:pPr>
            <a:endParaRPr lang="en-US" sz="1600" b="1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3ABED6E-E539-9E4B-AA81-A4E7DB625D7D}">
  <sheetPr/>
  <sheetViews>
    <sheetView zoomScale="12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311E92B-2F34-0645-BEEC-2832F1C62330}">
  <sheetPr codeName="Chart5"/>
  <sheetViews>
    <sheetView zoomScale="129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4312845-8EFE-2347-8BEB-D90645ECE828}">
  <sheetPr codeName="Chart8"/>
  <sheetViews>
    <sheetView tabSelected="1"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919" cy="6288548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696FF35-F338-A346-9DA6-40735181E78A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591295FD-7B21-3C43-ADA8-3660726687E7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8674919" cy="6288548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en-US" sz="1100"/>
            <a:t>This chart isn't available in your version of Excel.
Editing this shape or saving this workbook into a different file format will permanently break the chart.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411" cy="629093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8D695D-9743-B548-BFAC-123BE328436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3411" cy="629093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5249FC-DDAF-DA43-89CF-5EC9227268D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0.17154</cdr:x>
      <cdr:y>0.492</cdr:y>
    </cdr:from>
    <cdr:to>
      <cdr:x>0.46009</cdr:x>
      <cdr:y>0.5379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7A821DE-C3B4-834D-8180-15174FCBE171}"/>
            </a:ext>
          </a:extLst>
        </cdr:cNvPr>
        <cdr:cNvSpPr txBox="1"/>
      </cdr:nvSpPr>
      <cdr:spPr>
        <a:xfrm xmlns:a="http://schemas.openxmlformats.org/drawingml/2006/main">
          <a:off x="1489364" y="3094182"/>
          <a:ext cx="2505364" cy="288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chemeClr val="accent3"/>
              </a:solidFill>
            </a:rPr>
            <a:t>Historical Fuel Cost</a:t>
          </a:r>
        </a:p>
      </cdr:txBody>
    </cdr:sp>
  </cdr:relSizeAnchor>
  <cdr:relSizeAnchor xmlns:cdr="http://schemas.openxmlformats.org/drawingml/2006/chartDrawing">
    <cdr:from>
      <cdr:x>0.16409</cdr:x>
      <cdr:y>0.28712</cdr:y>
    </cdr:from>
    <cdr:to>
      <cdr:x>0.45265</cdr:x>
      <cdr:y>0.33302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173C805-F8F1-6240-BF45-07D8A64F2694}"/>
            </a:ext>
          </a:extLst>
        </cdr:cNvPr>
        <cdr:cNvSpPr txBox="1"/>
      </cdr:nvSpPr>
      <cdr:spPr>
        <a:xfrm xmlns:a="http://schemas.openxmlformats.org/drawingml/2006/main">
          <a:off x="1424709" y="1805709"/>
          <a:ext cx="2505364" cy="288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1"/>
              </a:solidFill>
            </a:rPr>
            <a:t>CEERT Fuel </a:t>
          </a:r>
        </a:p>
        <a:p xmlns:a="http://schemas.openxmlformats.org/drawingml/2006/main">
          <a:pPr algn="ctr"/>
          <a:r>
            <a:rPr lang="en-US" sz="1400" b="1">
              <a:solidFill>
                <a:schemeClr val="accent1"/>
              </a:solidFill>
            </a:rPr>
            <a:t>Cost Baseline</a:t>
          </a:r>
        </a:p>
      </cdr:txBody>
    </cdr:sp>
  </cdr:relSizeAnchor>
  <cdr:relSizeAnchor xmlns:cdr="http://schemas.openxmlformats.org/drawingml/2006/chartDrawing">
    <cdr:from>
      <cdr:x>0.39015</cdr:x>
      <cdr:y>0.36607</cdr:y>
    </cdr:from>
    <cdr:to>
      <cdr:x>0.67871</cdr:x>
      <cdr:y>0.41196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77A1C404-AEB8-3B4D-B201-FF24BC0DD547}"/>
            </a:ext>
          </a:extLst>
        </cdr:cNvPr>
        <cdr:cNvSpPr txBox="1"/>
      </cdr:nvSpPr>
      <cdr:spPr>
        <a:xfrm xmlns:a="http://schemas.openxmlformats.org/drawingml/2006/main">
          <a:off x="3387436" y="2302164"/>
          <a:ext cx="2505364" cy="288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rgbClr val="C00000"/>
              </a:solidFill>
            </a:rPr>
            <a:t>Stanford/MIT </a:t>
          </a:r>
        </a:p>
        <a:p xmlns:a="http://schemas.openxmlformats.org/drawingml/2006/main">
          <a:pPr algn="ctr"/>
          <a:r>
            <a:rPr lang="en-US" sz="1400" b="1">
              <a:solidFill>
                <a:srgbClr val="C00000"/>
              </a:solidFill>
            </a:rPr>
            <a:t>Fuel Cost Baseline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EBA4-2087-5E4C-9A46-1E300A69B071}">
  <sheetPr codeName="Sheet1"/>
  <dimension ref="B4:K23"/>
  <sheetViews>
    <sheetView workbookViewId="0">
      <selection activeCell="G22" sqref="G22"/>
    </sheetView>
  </sheetViews>
  <sheetFormatPr baseColWidth="10" defaultRowHeight="16"/>
  <cols>
    <col min="1" max="1" width="10.83203125" style="1"/>
    <col min="2" max="2" width="27.1640625" style="1" customWidth="1"/>
    <col min="3" max="10" width="10.83203125" style="1"/>
    <col min="11" max="11" width="10.83203125" style="62"/>
    <col min="12" max="16384" width="10.83203125" style="1"/>
  </cols>
  <sheetData>
    <row r="4" spans="2:5" s="1" customFormat="1">
      <c r="B4" s="1" t="s">
        <v>0</v>
      </c>
      <c r="C4" s="62"/>
      <c r="D4" s="63">
        <f>CEERT!L35</f>
        <v>97.785412305357212</v>
      </c>
    </row>
    <row r="5" spans="2:5" s="1" customFormat="1">
      <c r="B5" s="1" t="s">
        <v>93</v>
      </c>
      <c r="C5" s="62"/>
      <c r="D5" s="1">
        <f>E5-D4</f>
        <v>-7.4468064149361339</v>
      </c>
      <c r="E5" s="63">
        <f>CEERT!L36</f>
        <v>90.338605890421078</v>
      </c>
    </row>
    <row r="6" spans="2:5" s="1" customFormat="1">
      <c r="B6" s="1" t="s">
        <v>92</v>
      </c>
      <c r="C6" s="62"/>
      <c r="D6" s="1">
        <f>E6-E5</f>
        <v>-13.694422828513297</v>
      </c>
      <c r="E6" s="63">
        <f>CEERT!L39</f>
        <v>76.644183061907782</v>
      </c>
    </row>
    <row r="7" spans="2:5" s="1" customFormat="1">
      <c r="B7" s="1" t="s">
        <v>55</v>
      </c>
      <c r="C7" s="62"/>
      <c r="D7" s="1">
        <f>E7-E6</f>
        <v>-22.466249212995017</v>
      </c>
      <c r="E7" s="63">
        <f>'Inflation Adjustment'!Q39</f>
        <v>54.177933848912765</v>
      </c>
    </row>
    <row r="8" spans="2:5" s="1" customFormat="1">
      <c r="B8" s="1" t="s">
        <v>91</v>
      </c>
      <c r="C8" s="62"/>
      <c r="D8" s="63">
        <f>-(CashFlowItems!B7+CashFlowItems!B15+CashFlowItems!B21)</f>
        <v>-3.475297029890636</v>
      </c>
      <c r="E8" s="1">
        <f>E7+D8</f>
        <v>50.702636819022132</v>
      </c>
    </row>
    <row r="9" spans="2:5" s="1" customFormat="1">
      <c r="B9" s="1" t="s">
        <v>90</v>
      </c>
      <c r="C9" s="62"/>
      <c r="D9" s="1">
        <f>E9-E8</f>
        <v>-3.5581310910489563</v>
      </c>
      <c r="E9" s="1">
        <f>E10-D10</f>
        <v>47.144505727973176</v>
      </c>
    </row>
    <row r="10" spans="2:5" s="1" customFormat="1">
      <c r="B10" s="1" t="s">
        <v>89</v>
      </c>
      <c r="C10" s="62"/>
      <c r="D10" s="63">
        <f>-('Alloc Overhead'!F36+'Alloc Overhead'!H36+'Alloc Overhead'!J36)</f>
        <v>-6.7535214094528104</v>
      </c>
      <c r="E10" s="63">
        <f>'Stanford MIT'!B24</f>
        <v>40.390984318520367</v>
      </c>
    </row>
    <row r="11" spans="2:5" s="1" customFormat="1">
      <c r="B11" s="1" t="s">
        <v>88</v>
      </c>
      <c r="C11" s="62"/>
      <c r="D11" s="1">
        <f>-(E10-D12)</f>
        <v>2.0883466836021896</v>
      </c>
      <c r="E11" s="63">
        <f>D12</f>
        <v>42.479331002122557</v>
      </c>
    </row>
    <row r="12" spans="2:5" s="1" customFormat="1">
      <c r="B12" s="1" t="s">
        <v>1</v>
      </c>
      <c r="C12" s="62"/>
      <c r="D12" s="63">
        <f>'Stanford MIT'!B23</f>
        <v>42.479331002122557</v>
      </c>
    </row>
    <row r="14" spans="2:5" s="1" customFormat="1">
      <c r="B14" s="1" t="s">
        <v>94</v>
      </c>
      <c r="D14" s="1">
        <f>E6-E10</f>
        <v>36.253198743387415</v>
      </c>
    </row>
    <row r="19" spans="5:5">
      <c r="E19" s="2"/>
    </row>
    <row r="23" spans="5:5">
      <c r="E2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E783E-CE31-5745-8C17-0958882C7DA3}">
  <sheetPr codeName="Sheet3"/>
  <dimension ref="A1:P42"/>
  <sheetViews>
    <sheetView workbookViewId="0">
      <selection activeCell="A9" sqref="A9:B9"/>
    </sheetView>
  </sheetViews>
  <sheetFormatPr baseColWidth="10" defaultRowHeight="16"/>
  <cols>
    <col min="1" max="1" width="30.83203125" bestFit="1" customWidth="1"/>
    <col min="3" max="3" width="2.83203125" customWidth="1"/>
    <col min="5" max="5" width="20.1640625" bestFit="1" customWidth="1"/>
    <col min="6" max="6" width="2.83203125" customWidth="1"/>
    <col min="8" max="8" width="2.83203125" customWidth="1"/>
    <col min="12" max="12" width="2.83203125" customWidth="1"/>
  </cols>
  <sheetData>
    <row r="1" spans="1:16" ht="17" thickBot="1">
      <c r="A1" s="42" t="s">
        <v>20</v>
      </c>
      <c r="B1" s="42"/>
      <c r="C1" s="42"/>
      <c r="E1" s="42" t="s">
        <v>105</v>
      </c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>
      <c r="E2" s="66"/>
      <c r="F2" s="66"/>
      <c r="G2" s="66"/>
      <c r="H2" s="66"/>
      <c r="I2" s="70" t="s">
        <v>111</v>
      </c>
      <c r="J2" s="70"/>
      <c r="K2" s="70"/>
      <c r="L2" s="66"/>
      <c r="M2" s="71" t="s">
        <v>54</v>
      </c>
      <c r="N2" s="71"/>
      <c r="O2" s="71"/>
      <c r="P2" s="71"/>
    </row>
    <row r="3" spans="1:16" ht="17">
      <c r="E3" s="5"/>
      <c r="F3" s="5"/>
      <c r="G3" s="9"/>
      <c r="H3" s="5"/>
      <c r="I3" s="6" t="s">
        <v>108</v>
      </c>
      <c r="J3" s="6" t="s">
        <v>115</v>
      </c>
      <c r="K3" s="9" t="s">
        <v>85</v>
      </c>
      <c r="L3" s="5"/>
      <c r="M3" s="5" t="s">
        <v>55</v>
      </c>
      <c r="N3" s="6" t="s">
        <v>108</v>
      </c>
      <c r="O3" s="6" t="s">
        <v>115</v>
      </c>
      <c r="P3" s="9" t="s">
        <v>85</v>
      </c>
    </row>
    <row r="4" spans="1:16" ht="17">
      <c r="A4" t="s">
        <v>21</v>
      </c>
      <c r="B4" s="8">
        <v>2240</v>
      </c>
      <c r="E4" s="5"/>
      <c r="F4" s="4"/>
      <c r="G4" s="9" t="s">
        <v>11</v>
      </c>
      <c r="H4" s="4"/>
      <c r="I4" s="4" t="s">
        <v>50</v>
      </c>
      <c r="J4" s="9" t="s">
        <v>56</v>
      </c>
      <c r="K4" s="9" t="s">
        <v>86</v>
      </c>
      <c r="L4" s="4"/>
      <c r="M4" s="72" t="s">
        <v>9</v>
      </c>
      <c r="N4" s="4" t="s">
        <v>50</v>
      </c>
      <c r="O4" s="4" t="s">
        <v>109</v>
      </c>
      <c r="P4" s="9" t="s">
        <v>86</v>
      </c>
    </row>
    <row r="5" spans="1:16" ht="17">
      <c r="A5" t="s">
        <v>22</v>
      </c>
      <c r="B5" s="19">
        <v>0.9</v>
      </c>
      <c r="E5" s="5"/>
      <c r="F5" s="4"/>
      <c r="G5" s="23" t="s">
        <v>57</v>
      </c>
      <c r="H5" s="4"/>
      <c r="I5" s="69" t="s">
        <v>116</v>
      </c>
      <c r="J5" s="37" t="s">
        <v>3</v>
      </c>
      <c r="K5" s="41" t="s">
        <v>87</v>
      </c>
      <c r="L5" s="4"/>
      <c r="M5" s="37" t="s">
        <v>117</v>
      </c>
      <c r="N5" s="69" t="s">
        <v>106</v>
      </c>
      <c r="O5" s="38" t="s">
        <v>110</v>
      </c>
      <c r="P5" s="41" t="s">
        <v>87</v>
      </c>
    </row>
    <row r="6" spans="1:16">
      <c r="A6" t="s">
        <v>23</v>
      </c>
      <c r="B6" s="16">
        <f>B4*B5*8.76/1000</f>
        <v>17.660160000000001</v>
      </c>
      <c r="E6">
        <v>2020</v>
      </c>
      <c r="I6" s="35">
        <f t="shared" ref="I6:I30" si="0">1/((1+$B$7)^($E6-2020))</f>
        <v>1</v>
      </c>
      <c r="K6" s="64">
        <f t="shared" ref="K6:K30" si="1">$B$24</f>
        <v>40.390984318520367</v>
      </c>
      <c r="M6" s="35">
        <v>1</v>
      </c>
      <c r="N6" s="35">
        <f t="shared" ref="N6:N30" si="2">1/((1+$B$9)^($E6-2024))</f>
        <v>1.267632646588621</v>
      </c>
      <c r="P6" s="64">
        <f t="shared" ref="P6:P30" si="3">K6*M6</f>
        <v>40.390984318520367</v>
      </c>
    </row>
    <row r="7" spans="1:16">
      <c r="A7" t="s">
        <v>51</v>
      </c>
      <c r="B7" s="12">
        <f>(1.059)/(1.018)-1</f>
        <v>4.0275049115913397E-2</v>
      </c>
      <c r="E7">
        <v>2021</v>
      </c>
      <c r="I7" s="35">
        <f t="shared" si="0"/>
        <v>0.9612842304060436</v>
      </c>
      <c r="K7" s="64">
        <f t="shared" si="1"/>
        <v>40.390984318520367</v>
      </c>
      <c r="M7" s="35">
        <f t="shared" ref="M7:M30" si="4">M6*(1+$B$8)</f>
        <v>1.02</v>
      </c>
      <c r="N7" s="35">
        <f t="shared" si="2"/>
        <v>1.1946620324642341</v>
      </c>
      <c r="P7" s="64">
        <f t="shared" si="3"/>
        <v>41.198804004890775</v>
      </c>
    </row>
    <row r="8" spans="1:16">
      <c r="A8" t="s">
        <v>68</v>
      </c>
      <c r="B8" s="12">
        <v>0.02</v>
      </c>
      <c r="E8">
        <v>2022</v>
      </c>
      <c r="I8" s="35">
        <f t="shared" si="0"/>
        <v>0.92406737162733954</v>
      </c>
      <c r="K8" s="64">
        <f t="shared" si="1"/>
        <v>40.390984318520367</v>
      </c>
      <c r="M8" s="35">
        <f t="shared" si="4"/>
        <v>1.0404</v>
      </c>
      <c r="N8" s="35">
        <f t="shared" si="2"/>
        <v>1.1258919337967659</v>
      </c>
      <c r="P8" s="64">
        <f t="shared" si="3"/>
        <v>42.02278008498859</v>
      </c>
    </row>
    <row r="9" spans="1:16">
      <c r="A9" t="s">
        <v>52</v>
      </c>
      <c r="B9" s="12">
        <f>(1+B7)*(1+B8)-1</f>
        <v>6.1080550098231656E-2</v>
      </c>
      <c r="E9">
        <v>2023</v>
      </c>
      <c r="I9" s="35">
        <f t="shared" si="0"/>
        <v>0.88829139217812259</v>
      </c>
      <c r="K9" s="64">
        <f t="shared" si="1"/>
        <v>40.390984318520367</v>
      </c>
      <c r="M9" s="35">
        <f t="shared" si="4"/>
        <v>1.0612079999999999</v>
      </c>
      <c r="N9" s="35">
        <f t="shared" si="2"/>
        <v>1.0610805500982317</v>
      </c>
      <c r="P9" s="64">
        <f t="shared" si="3"/>
        <v>42.863235686688355</v>
      </c>
    </row>
    <row r="10" spans="1:16">
      <c r="B10" s="12"/>
      <c r="E10">
        <v>2024</v>
      </c>
      <c r="I10" s="35">
        <f t="shared" si="0"/>
        <v>0.85390050730625977</v>
      </c>
      <c r="K10" s="64">
        <f t="shared" si="1"/>
        <v>40.390984318520367</v>
      </c>
      <c r="M10" s="35">
        <f t="shared" si="4"/>
        <v>1.08243216</v>
      </c>
      <c r="N10" s="35">
        <f t="shared" si="2"/>
        <v>1</v>
      </c>
      <c r="P10" s="64">
        <f t="shared" si="3"/>
        <v>43.720500400422125</v>
      </c>
    </row>
    <row r="11" spans="1:16">
      <c r="B11" s="12"/>
      <c r="E11">
        <v>2025</v>
      </c>
      <c r="G11" s="16">
        <f t="shared" ref="G11:G30" si="5">$B$6</f>
        <v>17.660160000000001</v>
      </c>
      <c r="I11" s="35">
        <f t="shared" si="0"/>
        <v>0.82084109200922806</v>
      </c>
      <c r="J11" s="8">
        <f>B$24*B$6*1000</f>
        <v>713311.24562256073</v>
      </c>
      <c r="K11" s="64">
        <f t="shared" si="1"/>
        <v>40.390984318520367</v>
      </c>
      <c r="M11" s="35">
        <f t="shared" si="4"/>
        <v>1.1040808032</v>
      </c>
      <c r="N11" s="35">
        <f t="shared" si="2"/>
        <v>0.94243552000592512</v>
      </c>
      <c r="O11" s="8">
        <f t="shared" ref="O11:O30" si="6">J11*M11</f>
        <v>787553.25299854937</v>
      </c>
      <c r="P11" s="64">
        <f t="shared" si="3"/>
        <v>44.594910408430572</v>
      </c>
    </row>
    <row r="12" spans="1:16">
      <c r="A12" t="s">
        <v>128</v>
      </c>
      <c r="B12" s="22"/>
      <c r="E12">
        <v>2026</v>
      </c>
      <c r="G12" s="16">
        <f t="shared" si="5"/>
        <v>17.660160000000001</v>
      </c>
      <c r="I12" s="35">
        <f t="shared" si="0"/>
        <v>0.7890615974177474</v>
      </c>
      <c r="J12" s="8">
        <f t="shared" ref="J12:J30" si="7">B$24*B$6*1000</f>
        <v>713311.24562256073</v>
      </c>
      <c r="K12" s="64">
        <f t="shared" si="1"/>
        <v>40.390984318520367</v>
      </c>
      <c r="M12" s="35">
        <f t="shared" si="4"/>
        <v>1.1261624192640001</v>
      </c>
      <c r="N12" s="35">
        <f t="shared" si="2"/>
        <v>0.88818470936883842</v>
      </c>
      <c r="O12" s="8">
        <f t="shared" si="6"/>
        <v>803304.31805852032</v>
      </c>
      <c r="P12" s="64">
        <f t="shared" si="3"/>
        <v>45.486808616599184</v>
      </c>
    </row>
    <row r="13" spans="1:16">
      <c r="B13" s="22" t="s">
        <v>129</v>
      </c>
      <c r="E13">
        <v>2027</v>
      </c>
      <c r="G13" s="16">
        <f t="shared" si="5"/>
        <v>17.660160000000001</v>
      </c>
      <c r="I13" s="35">
        <f t="shared" si="0"/>
        <v>0.75851247041668257</v>
      </c>
      <c r="J13" s="8">
        <f t="shared" si="7"/>
        <v>713311.24562256073</v>
      </c>
      <c r="K13" s="64">
        <f t="shared" si="1"/>
        <v>40.390984318520367</v>
      </c>
      <c r="M13" s="35">
        <f t="shared" si="4"/>
        <v>1.14868566764928</v>
      </c>
      <c r="N13" s="35">
        <f t="shared" si="2"/>
        <v>0.83705681843533275</v>
      </c>
      <c r="O13" s="8">
        <f t="shared" si="6"/>
        <v>819370.40441969072</v>
      </c>
      <c r="P13" s="64">
        <f t="shared" si="3"/>
        <v>46.396544788931166</v>
      </c>
    </row>
    <row r="14" spans="1:16">
      <c r="B14" s="23" t="s">
        <v>33</v>
      </c>
      <c r="E14">
        <v>2028</v>
      </c>
      <c r="G14" s="16">
        <f t="shared" si="5"/>
        <v>17.660160000000001</v>
      </c>
      <c r="I14" s="35">
        <f t="shared" si="0"/>
        <v>0.72914607637788775</v>
      </c>
      <c r="J14" s="8">
        <f t="shared" si="7"/>
        <v>713311.24562256073</v>
      </c>
      <c r="K14" s="64">
        <f t="shared" si="1"/>
        <v>40.390984318520367</v>
      </c>
      <c r="M14" s="35">
        <f t="shared" si="4"/>
        <v>1.1716593810022657</v>
      </c>
      <c r="N14" s="35">
        <f t="shared" si="2"/>
        <v>0.78887207795660808</v>
      </c>
      <c r="O14" s="8">
        <f t="shared" si="6"/>
        <v>835757.81250808469</v>
      </c>
      <c r="P14" s="64">
        <f t="shared" si="3"/>
        <v>47.324475684709796</v>
      </c>
    </row>
    <row r="15" spans="1:16">
      <c r="A15" s="20" t="s">
        <v>24</v>
      </c>
      <c r="B15" s="34">
        <v>40.182149650160149</v>
      </c>
      <c r="C15" s="25"/>
      <c r="E15">
        <v>2029</v>
      </c>
      <c r="G15" s="16">
        <f t="shared" si="5"/>
        <v>17.660160000000001</v>
      </c>
      <c r="I15" s="35">
        <f t="shared" si="0"/>
        <v>0.70091662488450412</v>
      </c>
      <c r="J15" s="8">
        <f t="shared" si="7"/>
        <v>713311.24562256073</v>
      </c>
      <c r="K15" s="64">
        <f t="shared" si="1"/>
        <v>40.390984318520367</v>
      </c>
      <c r="M15" s="35">
        <f t="shared" si="4"/>
        <v>1.1950925686223111</v>
      </c>
      <c r="N15" s="35">
        <f t="shared" si="2"/>
        <v>0.74346106700719061</v>
      </c>
      <c r="O15" s="8">
        <f t="shared" si="6"/>
        <v>852472.9687582464</v>
      </c>
      <c r="P15" s="64">
        <f t="shared" si="3"/>
        <v>48.270965198403992</v>
      </c>
    </row>
    <row r="16" spans="1:16">
      <c r="A16" s="21" t="s">
        <v>48</v>
      </c>
      <c r="B16" s="34">
        <v>31.71763535708639</v>
      </c>
      <c r="C16" s="25"/>
      <c r="E16">
        <v>2030</v>
      </c>
      <c r="G16" s="16">
        <f t="shared" si="5"/>
        <v>17.660160000000001</v>
      </c>
      <c r="I16" s="35">
        <f t="shared" si="0"/>
        <v>0.67378009833090224</v>
      </c>
      <c r="J16" s="8">
        <f t="shared" si="7"/>
        <v>713311.24562256073</v>
      </c>
      <c r="K16" s="64">
        <f t="shared" si="1"/>
        <v>40.390984318520367</v>
      </c>
      <c r="M16" s="35">
        <f t="shared" si="4"/>
        <v>1.2189944199947573</v>
      </c>
      <c r="N16" s="35">
        <f t="shared" si="2"/>
        <v>0.70066411728908162</v>
      </c>
      <c r="O16" s="8">
        <f t="shared" si="6"/>
        <v>869522.42813341133</v>
      </c>
      <c r="P16" s="64">
        <f t="shared" si="3"/>
        <v>49.236384502372076</v>
      </c>
    </row>
    <row r="17" spans="1:16">
      <c r="A17" s="33" t="s">
        <v>31</v>
      </c>
      <c r="B17" s="34">
        <v>7.1590376415989256</v>
      </c>
      <c r="C17" s="25"/>
      <c r="E17">
        <v>2031</v>
      </c>
      <c r="G17" s="16">
        <f t="shared" si="5"/>
        <v>17.660160000000001</v>
      </c>
      <c r="I17" s="35">
        <f t="shared" si="0"/>
        <v>0.64769418328692974</v>
      </c>
      <c r="J17" s="8">
        <f t="shared" si="7"/>
        <v>713311.24562256073</v>
      </c>
      <c r="K17" s="64">
        <f t="shared" si="1"/>
        <v>40.390984318520367</v>
      </c>
      <c r="M17" s="35">
        <f t="shared" si="4"/>
        <v>1.2433743083946525</v>
      </c>
      <c r="N17" s="35">
        <f t="shared" si="2"/>
        <v>0.66033075172682809</v>
      </c>
      <c r="O17" s="8">
        <f t="shared" si="6"/>
        <v>886912.8766960795</v>
      </c>
      <c r="P17" s="64">
        <f t="shared" si="3"/>
        <v>50.221112192419511</v>
      </c>
    </row>
    <row r="18" spans="1:16">
      <c r="A18" s="33" t="s">
        <v>49</v>
      </c>
      <c r="B18" s="24">
        <f>B16-B17</f>
        <v>24.558597715487466</v>
      </c>
      <c r="C18" s="25"/>
      <c r="E18">
        <v>2032</v>
      </c>
      <c r="G18" s="16">
        <f t="shared" si="5"/>
        <v>17.660160000000001</v>
      </c>
      <c r="I18" s="35">
        <f t="shared" si="0"/>
        <v>0.62261820451944716</v>
      </c>
      <c r="J18" s="8">
        <f t="shared" si="7"/>
        <v>713311.24562256073</v>
      </c>
      <c r="K18" s="64">
        <f t="shared" si="1"/>
        <v>40.390984318520367</v>
      </c>
      <c r="M18" s="35">
        <f t="shared" si="4"/>
        <v>1.2682417945625455</v>
      </c>
      <c r="N18" s="35">
        <f t="shared" si="2"/>
        <v>0.62231915537957672</v>
      </c>
      <c r="O18" s="8">
        <f t="shared" si="6"/>
        <v>904651.13423000113</v>
      </c>
      <c r="P18" s="64">
        <f t="shared" si="3"/>
        <v>51.225534436267907</v>
      </c>
    </row>
    <row r="19" spans="1:16">
      <c r="A19" s="21" t="s">
        <v>46</v>
      </c>
      <c r="B19" s="34">
        <v>8.5396044805859042</v>
      </c>
      <c r="C19" s="25"/>
      <c r="E19">
        <v>2033</v>
      </c>
      <c r="G19" s="16">
        <f t="shared" si="5"/>
        <v>17.660160000000001</v>
      </c>
      <c r="I19" s="35">
        <f t="shared" si="0"/>
        <v>0.59851306156826944</v>
      </c>
      <c r="J19" s="8">
        <f t="shared" si="7"/>
        <v>713311.24562256073</v>
      </c>
      <c r="K19" s="64">
        <f t="shared" si="1"/>
        <v>40.390984318520367</v>
      </c>
      <c r="M19" s="35">
        <f t="shared" si="4"/>
        <v>1.2936066304537963</v>
      </c>
      <c r="N19" s="35">
        <f t="shared" si="2"/>
        <v>0.58649567680979953</v>
      </c>
      <c r="O19" s="8">
        <f t="shared" si="6"/>
        <v>922744.1569146011</v>
      </c>
      <c r="P19" s="64">
        <f t="shared" si="3"/>
        <v>52.250045124993257</v>
      </c>
    </row>
    <row r="20" spans="1:16">
      <c r="A20" s="20" t="s">
        <v>27</v>
      </c>
      <c r="B20" s="34">
        <v>2.29718135196241</v>
      </c>
      <c r="C20" s="25"/>
      <c r="E20">
        <v>2034</v>
      </c>
      <c r="G20" s="16">
        <f t="shared" si="5"/>
        <v>17.660160000000001</v>
      </c>
      <c r="I20" s="35">
        <f t="shared" si="0"/>
        <v>0.57534116777761901</v>
      </c>
      <c r="J20" s="8">
        <f t="shared" si="7"/>
        <v>713311.24562256073</v>
      </c>
      <c r="K20" s="64">
        <f t="shared" si="1"/>
        <v>40.390984318520367</v>
      </c>
      <c r="M20" s="35">
        <f t="shared" si="4"/>
        <v>1.3194787630628724</v>
      </c>
      <c r="N20" s="35">
        <f t="shared" si="2"/>
        <v>0.55273435815547034</v>
      </c>
      <c r="O20" s="8">
        <f t="shared" si="6"/>
        <v>941199.04005289322</v>
      </c>
      <c r="P20" s="64">
        <f t="shared" si="3"/>
        <v>53.295046027493129</v>
      </c>
    </row>
    <row r="21" spans="1:16">
      <c r="A21" s="21" t="s">
        <v>25</v>
      </c>
      <c r="B21" s="24">
        <f>(50/550)*B20</f>
        <v>0.20883466836021911</v>
      </c>
      <c r="C21" s="25"/>
      <c r="E21">
        <v>2035</v>
      </c>
      <c r="G21" s="16">
        <f t="shared" si="5"/>
        <v>17.660160000000001</v>
      </c>
      <c r="I21" s="35">
        <f t="shared" si="0"/>
        <v>0.55306639168802285</v>
      </c>
      <c r="J21" s="8">
        <f t="shared" si="7"/>
        <v>713311.24562256073</v>
      </c>
      <c r="K21" s="64">
        <f t="shared" si="1"/>
        <v>40.390984318520367</v>
      </c>
      <c r="M21" s="35">
        <f t="shared" si="4"/>
        <v>1.3458683383241299</v>
      </c>
      <c r="N21" s="35">
        <f t="shared" si="2"/>
        <v>0.52091649225339198</v>
      </c>
      <c r="O21" s="8">
        <f t="shared" si="6"/>
        <v>960023.02085395111</v>
      </c>
      <c r="P21" s="64">
        <f t="shared" si="3"/>
        <v>54.360946948042994</v>
      </c>
    </row>
    <row r="22" spans="1:16">
      <c r="A22" s="21" t="s">
        <v>26</v>
      </c>
      <c r="B22" s="24">
        <f>B20-B21</f>
        <v>2.0883466836021909</v>
      </c>
      <c r="C22" s="25"/>
      <c r="E22">
        <v>2036</v>
      </c>
      <c r="G22" s="16">
        <f t="shared" si="5"/>
        <v>17.660160000000001</v>
      </c>
      <c r="I22" s="35">
        <f t="shared" si="0"/>
        <v>0.53165400069726854</v>
      </c>
      <c r="J22" s="8">
        <f t="shared" si="7"/>
        <v>713311.24562256073</v>
      </c>
      <c r="K22" s="64">
        <f t="shared" si="1"/>
        <v>40.390984318520367</v>
      </c>
      <c r="M22" s="35">
        <f t="shared" si="4"/>
        <v>1.3727857050906125</v>
      </c>
      <c r="N22" s="35">
        <f t="shared" si="2"/>
        <v>0.49093020525648795</v>
      </c>
      <c r="O22" s="8">
        <f t="shared" si="6"/>
        <v>979223.48127103015</v>
      </c>
      <c r="P22" s="64">
        <f t="shared" si="3"/>
        <v>55.448165887003853</v>
      </c>
    </row>
    <row r="23" spans="1:16">
      <c r="A23" s="20" t="s">
        <v>28</v>
      </c>
      <c r="B23" s="24">
        <f>B15+B20</f>
        <v>42.479331002122557</v>
      </c>
      <c r="C23" s="25"/>
      <c r="E23">
        <v>2037</v>
      </c>
      <c r="G23" s="16">
        <f t="shared" si="5"/>
        <v>17.660160000000001</v>
      </c>
      <c r="I23" s="35">
        <f t="shared" si="0"/>
        <v>0.511070606902568</v>
      </c>
      <c r="J23" s="8">
        <f t="shared" si="7"/>
        <v>713311.24562256073</v>
      </c>
      <c r="K23" s="64">
        <f t="shared" si="1"/>
        <v>40.390984318520367</v>
      </c>
      <c r="M23" s="35">
        <f t="shared" si="4"/>
        <v>1.4002414191924248</v>
      </c>
      <c r="N23" s="35">
        <f t="shared" si="2"/>
        <v>0.46267006327751375</v>
      </c>
      <c r="O23" s="8">
        <f t="shared" si="6"/>
        <v>998807.95089645078</v>
      </c>
      <c r="P23" s="64">
        <f t="shared" si="3"/>
        <v>56.557129204743937</v>
      </c>
    </row>
    <row r="24" spans="1:16" ht="17" thickBot="1">
      <c r="A24" s="45" t="s">
        <v>29</v>
      </c>
      <c r="B24" s="46">
        <f>B23-B22</f>
        <v>40.390984318520367</v>
      </c>
      <c r="C24" s="47"/>
      <c r="E24">
        <v>2038</v>
      </c>
      <c r="G24" s="16">
        <f t="shared" si="5"/>
        <v>17.660160000000001</v>
      </c>
      <c r="I24" s="35">
        <f t="shared" si="0"/>
        <v>0.49128411503948477</v>
      </c>
      <c r="J24" s="8">
        <f t="shared" si="7"/>
        <v>713311.24562256073</v>
      </c>
      <c r="K24" s="64">
        <f t="shared" si="1"/>
        <v>40.390984318520367</v>
      </c>
      <c r="M24" s="35">
        <f t="shared" si="4"/>
        <v>1.4282462475762734</v>
      </c>
      <c r="N24" s="35">
        <f t="shared" si="2"/>
        <v>0.43603670167611797</v>
      </c>
      <c r="O24" s="8">
        <f t="shared" si="6"/>
        <v>1018784.1099143798</v>
      </c>
      <c r="P24" s="64">
        <f t="shared" si="3"/>
        <v>57.688271788838819</v>
      </c>
    </row>
    <row r="25" spans="1:16">
      <c r="A25" s="20"/>
      <c r="E25">
        <v>2039</v>
      </c>
      <c r="G25" s="16">
        <f t="shared" si="5"/>
        <v>17.660160000000001</v>
      </c>
      <c r="I25" s="35">
        <f t="shared" si="0"/>
        <v>0.47226367243644529</v>
      </c>
      <c r="J25" s="8">
        <f t="shared" si="7"/>
        <v>713311.24562256073</v>
      </c>
      <c r="K25" s="64">
        <f t="shared" si="1"/>
        <v>40.390984318520367</v>
      </c>
      <c r="M25" s="35">
        <f t="shared" si="4"/>
        <v>1.4568111725277988</v>
      </c>
      <c r="N25" s="35">
        <f t="shared" si="2"/>
        <v>0.41093647568580066</v>
      </c>
      <c r="O25" s="8">
        <f t="shared" si="6"/>
        <v>1039159.7921126673</v>
      </c>
      <c r="P25" s="64">
        <f t="shared" si="3"/>
        <v>58.842037224615588</v>
      </c>
    </row>
    <row r="26" spans="1:16">
      <c r="E26">
        <v>2040</v>
      </c>
      <c r="G26" s="16">
        <f t="shared" si="5"/>
        <v>17.660160000000001</v>
      </c>
      <c r="I26" s="35">
        <f t="shared" si="0"/>
        <v>0.45397962090680022</v>
      </c>
      <c r="J26" s="8">
        <f t="shared" si="7"/>
        <v>713311.24562256073</v>
      </c>
      <c r="K26" s="64">
        <f t="shared" si="1"/>
        <v>40.390984318520367</v>
      </c>
      <c r="M26" s="35">
        <f t="shared" si="4"/>
        <v>1.4859473959783549</v>
      </c>
      <c r="N26" s="35">
        <f t="shared" si="2"/>
        <v>0.3872811311523498</v>
      </c>
      <c r="O26" s="8">
        <f t="shared" si="6"/>
        <v>1059942.9879549209</v>
      </c>
      <c r="P26" s="64">
        <f t="shared" si="3"/>
        <v>60.018877969107905</v>
      </c>
    </row>
    <row r="27" spans="1:16">
      <c r="A27" s="20"/>
      <c r="E27">
        <v>2041</v>
      </c>
      <c r="G27" s="16">
        <f t="shared" si="5"/>
        <v>17.660160000000001</v>
      </c>
      <c r="I27" s="35">
        <f t="shared" si="0"/>
        <v>0.43640345050342083</v>
      </c>
      <c r="J27" s="8">
        <f t="shared" si="7"/>
        <v>713311.24562256073</v>
      </c>
      <c r="K27" s="64">
        <f t="shared" si="1"/>
        <v>40.390984318520367</v>
      </c>
      <c r="M27" s="35">
        <f t="shared" si="4"/>
        <v>1.5156663438979221</v>
      </c>
      <c r="N27" s="35">
        <f t="shared" si="2"/>
        <v>0.36498749422604759</v>
      </c>
      <c r="O27" s="8">
        <f t="shared" si="6"/>
        <v>1081141.8477140192</v>
      </c>
      <c r="P27" s="64">
        <f t="shared" si="3"/>
        <v>61.219255528490066</v>
      </c>
    </row>
    <row r="28" spans="1:16">
      <c r="A28" s="20"/>
      <c r="E28">
        <v>2042</v>
      </c>
      <c r="G28" s="16">
        <f t="shared" si="5"/>
        <v>17.660160000000001</v>
      </c>
      <c r="I28" s="35">
        <f t="shared" si="0"/>
        <v>0.41950775506372295</v>
      </c>
      <c r="J28" s="8">
        <f t="shared" si="7"/>
        <v>713311.24562256073</v>
      </c>
      <c r="K28" s="64">
        <f t="shared" si="1"/>
        <v>40.390984318520367</v>
      </c>
      <c r="M28" s="35">
        <f t="shared" si="4"/>
        <v>1.5459796707758806</v>
      </c>
      <c r="N28" s="35">
        <f t="shared" si="2"/>
        <v>0.3439771789165848</v>
      </c>
      <c r="O28" s="8">
        <f t="shared" si="6"/>
        <v>1102764.6846682997</v>
      </c>
      <c r="P28" s="64">
        <f t="shared" si="3"/>
        <v>62.443640639059872</v>
      </c>
    </row>
    <row r="29" spans="1:16">
      <c r="E29">
        <v>2043</v>
      </c>
      <c r="G29" s="16">
        <f t="shared" si="5"/>
        <v>17.660160000000001</v>
      </c>
      <c r="I29" s="35">
        <f t="shared" si="0"/>
        <v>0.4032661894757979</v>
      </c>
      <c r="J29" s="8">
        <f t="shared" si="7"/>
        <v>713311.24562256073</v>
      </c>
      <c r="K29" s="64">
        <f t="shared" si="1"/>
        <v>40.390984318520367</v>
      </c>
      <c r="M29" s="35">
        <f t="shared" si="4"/>
        <v>1.5768992641913981</v>
      </c>
      <c r="N29" s="35">
        <f t="shared" si="2"/>
        <v>0.32417631148242276</v>
      </c>
      <c r="O29" s="8">
        <f t="shared" si="6"/>
        <v>1124819.9783616657</v>
      </c>
      <c r="P29" s="64">
        <f t="shared" si="3"/>
        <v>63.692513451841066</v>
      </c>
    </row>
    <row r="30" spans="1:16">
      <c r="B30" s="24"/>
      <c r="E30">
        <v>2044</v>
      </c>
      <c r="G30" s="16">
        <f t="shared" si="5"/>
        <v>17.660160000000001</v>
      </c>
      <c r="I30" s="35">
        <f t="shared" si="0"/>
        <v>0.38765342859902024</v>
      </c>
      <c r="J30" s="8">
        <f t="shared" si="7"/>
        <v>713311.24562256073</v>
      </c>
      <c r="K30" s="64">
        <f t="shared" si="1"/>
        <v>40.390984318520367</v>
      </c>
      <c r="M30" s="35">
        <f t="shared" si="4"/>
        <v>1.6084372494752261</v>
      </c>
      <c r="N30" s="35">
        <f t="shared" si="2"/>
        <v>0.30551527068553985</v>
      </c>
      <c r="O30" s="8">
        <f t="shared" si="6"/>
        <v>1147316.3779288991</v>
      </c>
      <c r="P30" s="64">
        <f t="shared" si="3"/>
        <v>64.966363720877894</v>
      </c>
    </row>
    <row r="31" spans="1:16">
      <c r="A31" s="20"/>
      <c r="E31" s="40">
        <v>2045</v>
      </c>
      <c r="F31" s="40"/>
      <c r="G31" s="40"/>
      <c r="H31" s="40"/>
      <c r="I31" s="43"/>
      <c r="J31" s="40"/>
      <c r="K31" s="65"/>
      <c r="L31" s="40"/>
      <c r="M31" s="43"/>
      <c r="N31" s="43"/>
      <c r="O31" s="40"/>
      <c r="P31" s="65"/>
    </row>
    <row r="32" spans="1:16">
      <c r="A32" s="20"/>
    </row>
    <row r="33" spans="1:16">
      <c r="E33" s="32" t="s">
        <v>114</v>
      </c>
      <c r="J33" s="3">
        <f>SUMPRODUCT(J6:J31,$I6:$I31)</f>
        <v>8257700.2829559222</v>
      </c>
      <c r="K33" s="3">
        <f>SUMPRODUCT(G11:G30,K11:K30,$I11:$I30)*1000</f>
        <v>8257700.2829559203</v>
      </c>
    </row>
    <row r="34" spans="1:16">
      <c r="E34" s="32" t="s">
        <v>113</v>
      </c>
      <c r="J34" s="3"/>
      <c r="K34" s="3"/>
      <c r="O34" s="3">
        <f>SUMPRODUCT(O6:O31,$N6:$N31)</f>
        <v>10467730.464419017</v>
      </c>
      <c r="P34" s="3">
        <f>SUMPRODUCT(G11:G30,P11:P30,$N11:$N30)*1000</f>
        <v>10467730.464419015</v>
      </c>
    </row>
    <row r="35" spans="1:16">
      <c r="E35" s="32" t="s">
        <v>59</v>
      </c>
      <c r="I35" s="3">
        <f>SUMPRODUCT($G11:$G30,I11:I30)</f>
        <v>204.44414569935452</v>
      </c>
      <c r="K35" s="3"/>
      <c r="N35" s="3">
        <f>SUMPRODUCT($G11:$G30,$M11:$M30,N11:N30)/M10</f>
        <v>239.42384850466959</v>
      </c>
      <c r="P35" s="3"/>
    </row>
    <row r="36" spans="1:16">
      <c r="E36" s="32" t="s">
        <v>61</v>
      </c>
      <c r="J36" s="36">
        <f>J33/$I35/1000</f>
        <v>40.390984318520374</v>
      </c>
      <c r="O36" s="39"/>
    </row>
    <row r="37" spans="1:16">
      <c r="A37" s="20"/>
      <c r="E37" s="32" t="s">
        <v>60</v>
      </c>
      <c r="K37" s="36"/>
      <c r="O37" s="36">
        <f>O34/$N35/1000</f>
        <v>43.720500400422139</v>
      </c>
      <c r="P37" s="36"/>
    </row>
    <row r="38" spans="1:16" ht="17" thickBot="1"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4"/>
      <c r="P38" s="42"/>
    </row>
    <row r="41" spans="1:16">
      <c r="J41" s="7"/>
    </row>
    <row r="42" spans="1:16">
      <c r="J42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F17FF-3905-AE4D-834B-25434FC58A67}">
  <sheetPr codeName="Sheet4"/>
  <dimension ref="A1:M43"/>
  <sheetViews>
    <sheetView workbookViewId="0">
      <selection activeCell="F17" sqref="F17"/>
    </sheetView>
  </sheetViews>
  <sheetFormatPr baseColWidth="10" defaultRowHeight="16"/>
  <cols>
    <col min="1" max="1" width="30.83203125" bestFit="1" customWidth="1"/>
    <col min="3" max="3" width="2.83203125" customWidth="1"/>
    <col min="6" max="6" width="11.83203125" customWidth="1"/>
    <col min="7" max="7" width="2.83203125" customWidth="1"/>
    <col min="9" max="9" width="2.83203125" customWidth="1"/>
    <col min="13" max="13" width="2.83203125" customWidth="1"/>
  </cols>
  <sheetData>
    <row r="1" spans="1:13">
      <c r="A1" t="s">
        <v>35</v>
      </c>
    </row>
    <row r="2" spans="1:13" ht="17" thickBot="1">
      <c r="F2" s="42"/>
      <c r="G2" s="42"/>
      <c r="H2" s="42"/>
      <c r="I2" s="42"/>
      <c r="J2" s="42"/>
      <c r="K2" s="42"/>
      <c r="L2" s="42"/>
    </row>
    <row r="3" spans="1:13" ht="17">
      <c r="A3" t="s">
        <v>37</v>
      </c>
      <c r="B3" s="19">
        <v>0.02</v>
      </c>
      <c r="F3" s="5"/>
      <c r="G3" s="5"/>
      <c r="I3" s="5"/>
      <c r="J3" s="5" t="s">
        <v>55</v>
      </c>
      <c r="K3" s="6" t="s">
        <v>108</v>
      </c>
      <c r="L3" s="5" t="s">
        <v>115</v>
      </c>
      <c r="M3" s="5"/>
    </row>
    <row r="4" spans="1:13" ht="17">
      <c r="A4" t="s">
        <v>38</v>
      </c>
      <c r="B4" s="28">
        <f>(1+B3)^4</f>
        <v>1.08243216</v>
      </c>
      <c r="F4" s="5"/>
      <c r="G4" s="4"/>
      <c r="H4" s="9" t="s">
        <v>11</v>
      </c>
      <c r="I4" s="4"/>
      <c r="J4" s="72" t="s">
        <v>9</v>
      </c>
      <c r="K4" s="4" t="s">
        <v>50</v>
      </c>
      <c r="L4" s="4" t="s">
        <v>109</v>
      </c>
      <c r="M4" s="4"/>
    </row>
    <row r="5" spans="1:13" ht="17">
      <c r="A5" t="s">
        <v>52</v>
      </c>
      <c r="B5" s="12">
        <v>0.08</v>
      </c>
      <c r="F5" s="5"/>
      <c r="G5" s="4"/>
      <c r="H5" s="23" t="s">
        <v>57</v>
      </c>
      <c r="I5" s="4"/>
      <c r="J5" s="37" t="s">
        <v>107</v>
      </c>
      <c r="K5" s="69" t="s">
        <v>106</v>
      </c>
      <c r="L5" s="38" t="s">
        <v>110</v>
      </c>
      <c r="M5" s="4"/>
    </row>
    <row r="6" spans="1:13">
      <c r="B6" s="19"/>
      <c r="F6">
        <v>2020</v>
      </c>
      <c r="J6" s="35"/>
      <c r="K6" s="35">
        <f>1/(1+$B$5)^(F6-2024)</f>
        <v>1.3604889600000003</v>
      </c>
      <c r="L6" s="3">
        <v>16758</v>
      </c>
    </row>
    <row r="7" spans="1:13">
      <c r="A7" t="s">
        <v>36</v>
      </c>
      <c r="B7" s="16"/>
      <c r="F7">
        <v>2021</v>
      </c>
      <c r="J7" s="35"/>
      <c r="K7" s="35">
        <f t="shared" ref="K7:K31" si="0">1/(1+$B$5)^(F7-2024)</f>
        <v>1.2597120000000002</v>
      </c>
      <c r="L7" s="3">
        <v>55751</v>
      </c>
    </row>
    <row r="8" spans="1:13">
      <c r="F8">
        <v>2022</v>
      </c>
      <c r="J8" s="35"/>
      <c r="K8" s="35">
        <f t="shared" si="0"/>
        <v>1.1664000000000001</v>
      </c>
      <c r="L8" s="3">
        <v>123781</v>
      </c>
    </row>
    <row r="9" spans="1:13">
      <c r="A9" t="s">
        <v>32</v>
      </c>
      <c r="B9" s="9" t="s">
        <v>112</v>
      </c>
      <c r="D9" s="22"/>
      <c r="F9">
        <v>2023</v>
      </c>
      <c r="J9" s="35"/>
      <c r="K9" s="35">
        <f t="shared" si="0"/>
        <v>1.08</v>
      </c>
      <c r="L9" s="3">
        <v>246166</v>
      </c>
    </row>
    <row r="10" spans="1:13">
      <c r="B10" s="22" t="s">
        <v>130</v>
      </c>
      <c r="D10" s="27"/>
      <c r="F10">
        <v>2024</v>
      </c>
      <c r="J10" s="35">
        <v>1</v>
      </c>
      <c r="K10" s="35">
        <f t="shared" si="0"/>
        <v>1</v>
      </c>
      <c r="L10" s="3">
        <v>251590</v>
      </c>
    </row>
    <row r="11" spans="1:13">
      <c r="B11" s="23" t="s">
        <v>34</v>
      </c>
      <c r="D11" s="25"/>
      <c r="F11">
        <v>2025</v>
      </c>
      <c r="H11" s="16">
        <v>17.987200000000001</v>
      </c>
      <c r="J11" s="35">
        <f t="shared" ref="J11:J30" si="1">J10*(1+$B$3)</f>
        <v>1.02</v>
      </c>
      <c r="K11" s="35">
        <f t="shared" si="0"/>
        <v>0.92592592592592582</v>
      </c>
      <c r="L11" s="3">
        <v>1003091</v>
      </c>
    </row>
    <row r="12" spans="1:13">
      <c r="A12" t="s">
        <v>39</v>
      </c>
      <c r="B12" s="29">
        <v>1218</v>
      </c>
      <c r="C12" s="25"/>
      <c r="D12" s="25"/>
      <c r="F12">
        <v>2026</v>
      </c>
      <c r="H12" s="16">
        <v>17.987200000000001</v>
      </c>
      <c r="J12" s="35">
        <f t="shared" si="1"/>
        <v>1.0404</v>
      </c>
      <c r="K12" s="35">
        <f t="shared" si="0"/>
        <v>0.85733882030178321</v>
      </c>
      <c r="L12" s="3">
        <v>1103203</v>
      </c>
    </row>
    <row r="13" spans="1:13">
      <c r="A13" t="s">
        <v>12</v>
      </c>
      <c r="B13" s="29">
        <v>5634</v>
      </c>
      <c r="C13" s="25"/>
      <c r="D13" s="25"/>
      <c r="F13">
        <v>2027</v>
      </c>
      <c r="H13" s="16">
        <v>17.987200000000001</v>
      </c>
      <c r="J13" s="35">
        <f t="shared" si="1"/>
        <v>1.0612079999999999</v>
      </c>
      <c r="K13" s="35">
        <f t="shared" si="0"/>
        <v>0.79383224102016958</v>
      </c>
      <c r="L13" s="3">
        <v>1180660</v>
      </c>
    </row>
    <row r="14" spans="1:13">
      <c r="A14" t="s">
        <v>40</v>
      </c>
      <c r="B14" s="29">
        <v>1536</v>
      </c>
      <c r="C14" s="25"/>
      <c r="D14" s="25"/>
      <c r="F14">
        <v>2028</v>
      </c>
      <c r="H14" s="16">
        <v>17.987200000000001</v>
      </c>
      <c r="J14" s="35">
        <f t="shared" si="1"/>
        <v>1.08243216</v>
      </c>
      <c r="K14" s="35">
        <f t="shared" si="0"/>
        <v>0.73502985279645328</v>
      </c>
      <c r="L14" s="3">
        <v>1260286</v>
      </c>
    </row>
    <row r="15" spans="1:13">
      <c r="A15" t="s">
        <v>41</v>
      </c>
      <c r="B15" s="29">
        <v>624</v>
      </c>
      <c r="C15" s="25"/>
      <c r="D15" s="25"/>
      <c r="F15">
        <v>2029</v>
      </c>
      <c r="H15" s="16">
        <v>16.352000000000004</v>
      </c>
      <c r="J15" s="35">
        <f t="shared" si="1"/>
        <v>1.1040808032</v>
      </c>
      <c r="K15" s="35">
        <f t="shared" si="0"/>
        <v>0.68058319703375303</v>
      </c>
      <c r="L15" s="3">
        <v>1434548</v>
      </c>
    </row>
    <row r="16" spans="1:13">
      <c r="A16" t="s">
        <v>14</v>
      </c>
      <c r="B16" s="29">
        <v>2048</v>
      </c>
      <c r="C16" s="25"/>
      <c r="D16" s="26"/>
      <c r="F16">
        <v>2030</v>
      </c>
      <c r="H16" s="16">
        <v>17.987200000000001</v>
      </c>
      <c r="J16" s="35">
        <f t="shared" si="1"/>
        <v>1.1261624192640001</v>
      </c>
      <c r="K16" s="35">
        <f t="shared" si="0"/>
        <v>0.63016962688310452</v>
      </c>
      <c r="L16" s="3">
        <v>1427066</v>
      </c>
    </row>
    <row r="17" spans="1:12">
      <c r="A17" t="s">
        <v>42</v>
      </c>
      <c r="B17" s="29">
        <v>197</v>
      </c>
      <c r="C17" s="25"/>
      <c r="F17">
        <v>2031</v>
      </c>
      <c r="H17" s="16">
        <v>17.987200000000001</v>
      </c>
      <c r="J17" s="35">
        <f t="shared" si="1"/>
        <v>1.14868566764928</v>
      </c>
      <c r="K17" s="35">
        <f t="shared" si="0"/>
        <v>0.58349039526213387</v>
      </c>
      <c r="L17" s="3">
        <v>1514828</v>
      </c>
    </row>
    <row r="18" spans="1:12">
      <c r="A18" t="s">
        <v>43</v>
      </c>
      <c r="B18" s="29">
        <v>186</v>
      </c>
      <c r="C18" s="25"/>
      <c r="D18" s="26"/>
      <c r="F18">
        <v>2032</v>
      </c>
      <c r="H18" s="16">
        <v>17.987200000000001</v>
      </c>
      <c r="J18" s="35">
        <f t="shared" si="1"/>
        <v>1.1716593810022657</v>
      </c>
      <c r="K18" s="35">
        <f t="shared" si="0"/>
        <v>0.54026888450197574</v>
      </c>
      <c r="L18" s="3">
        <v>1605889</v>
      </c>
    </row>
    <row r="19" spans="1:12">
      <c r="A19" t="s">
        <v>16</v>
      </c>
      <c r="B19" s="29">
        <v>168</v>
      </c>
      <c r="C19" s="25"/>
      <c r="D19" s="26"/>
      <c r="F19">
        <v>2033</v>
      </c>
      <c r="H19" s="16">
        <v>17.987200000000001</v>
      </c>
      <c r="J19" s="35">
        <f t="shared" si="1"/>
        <v>1.1950925686223111</v>
      </c>
      <c r="K19" s="35">
        <f t="shared" si="0"/>
        <v>0.50024896713145905</v>
      </c>
      <c r="L19" s="3">
        <v>1700590</v>
      </c>
    </row>
    <row r="20" spans="1:12">
      <c r="A20" t="s">
        <v>17</v>
      </c>
      <c r="B20" s="29">
        <v>233</v>
      </c>
      <c r="C20" s="25"/>
      <c r="D20" s="26"/>
      <c r="F20">
        <v>2034</v>
      </c>
      <c r="H20" s="16">
        <v>16.352000000000004</v>
      </c>
      <c r="J20" s="35">
        <f t="shared" si="1"/>
        <v>1.2189944199947573</v>
      </c>
      <c r="K20" s="35">
        <f t="shared" si="0"/>
        <v>0.46319348808468425</v>
      </c>
      <c r="L20" s="3">
        <v>1913393</v>
      </c>
    </row>
    <row r="21" spans="1:12">
      <c r="A21" t="s">
        <v>18</v>
      </c>
      <c r="B21" s="29">
        <v>4978</v>
      </c>
      <c r="C21" s="25"/>
      <c r="D21" s="26"/>
      <c r="F21">
        <v>2035</v>
      </c>
      <c r="H21" s="16">
        <v>17.987200000000001</v>
      </c>
      <c r="J21" s="35">
        <f t="shared" si="1"/>
        <v>1.2433743083946525</v>
      </c>
      <c r="K21" s="35">
        <f t="shared" si="0"/>
        <v>0.42888285933767062</v>
      </c>
      <c r="L21" s="3">
        <v>1903022</v>
      </c>
    </row>
    <row r="22" spans="1:12">
      <c r="A22" t="s">
        <v>44</v>
      </c>
      <c r="B22" s="30">
        <v>180</v>
      </c>
      <c r="C22" s="25"/>
      <c r="D22" s="26"/>
      <c r="F22">
        <v>2036</v>
      </c>
      <c r="H22" s="16">
        <v>17.987200000000001</v>
      </c>
      <c r="J22" s="35">
        <f t="shared" si="1"/>
        <v>1.2682417945625455</v>
      </c>
      <c r="K22" s="35">
        <f t="shared" si="0"/>
        <v>0.39711375864599124</v>
      </c>
      <c r="L22" s="3">
        <v>2012267</v>
      </c>
    </row>
    <row r="23" spans="1:12">
      <c r="A23" t="s">
        <v>45</v>
      </c>
      <c r="B23" s="29">
        <v>17001</v>
      </c>
      <c r="C23" s="25"/>
      <c r="D23" s="26"/>
      <c r="F23">
        <v>2037</v>
      </c>
      <c r="H23" s="16">
        <v>17.987200000000001</v>
      </c>
      <c r="J23" s="35">
        <f t="shared" si="1"/>
        <v>1.2936066304537963</v>
      </c>
      <c r="K23" s="35">
        <f t="shared" si="0"/>
        <v>0.36769792467221413</v>
      </c>
      <c r="L23" s="3">
        <v>2128383</v>
      </c>
    </row>
    <row r="24" spans="1:12">
      <c r="B24" s="31"/>
      <c r="C24" s="25"/>
      <c r="F24">
        <v>2038</v>
      </c>
      <c r="H24" s="16">
        <v>17.987200000000001</v>
      </c>
      <c r="J24" s="35">
        <f t="shared" si="1"/>
        <v>1.3194787630628724</v>
      </c>
      <c r="K24" s="35">
        <f t="shared" si="0"/>
        <v>0.34046104136316119</v>
      </c>
      <c r="L24" s="3">
        <v>2253173</v>
      </c>
    </row>
    <row r="25" spans="1:12">
      <c r="B25" s="31"/>
      <c r="C25" s="25"/>
      <c r="F25">
        <v>2039</v>
      </c>
      <c r="H25" s="16">
        <v>16.352000000000004</v>
      </c>
      <c r="J25" s="35">
        <f t="shared" si="1"/>
        <v>1.3458683383241299</v>
      </c>
      <c r="K25" s="35">
        <f t="shared" si="0"/>
        <v>0.31524170496588994</v>
      </c>
      <c r="L25" s="3">
        <v>2507323</v>
      </c>
    </row>
    <row r="26" spans="1:12">
      <c r="B26" s="31"/>
      <c r="C26" s="25"/>
      <c r="F26">
        <v>2040</v>
      </c>
      <c r="H26" s="16">
        <v>17.987200000000001</v>
      </c>
      <c r="J26" s="35">
        <f t="shared" si="1"/>
        <v>1.3727857050906125</v>
      </c>
      <c r="K26" s="35">
        <f t="shared" si="0"/>
        <v>0.29189046756100923</v>
      </c>
      <c r="L26" s="3">
        <v>2463308</v>
      </c>
    </row>
    <row r="27" spans="1:12">
      <c r="B27" s="31"/>
      <c r="C27" s="25"/>
      <c r="F27">
        <v>2041</v>
      </c>
      <c r="H27" s="16">
        <v>17.987200000000001</v>
      </c>
      <c r="J27" s="35">
        <f t="shared" si="1"/>
        <v>1.4002414191924248</v>
      </c>
      <c r="K27" s="35">
        <f t="shared" si="0"/>
        <v>0.27026895144537894</v>
      </c>
      <c r="L27" s="3">
        <v>2542403</v>
      </c>
    </row>
    <row r="28" spans="1:12">
      <c r="B28" s="31"/>
      <c r="C28" s="25"/>
      <c r="F28">
        <v>2042</v>
      </c>
      <c r="H28" s="16">
        <v>17.987200000000001</v>
      </c>
      <c r="J28" s="35">
        <f t="shared" si="1"/>
        <v>1.4282462475762734</v>
      </c>
      <c r="K28" s="35">
        <f t="shared" si="0"/>
        <v>0.25024902911609154</v>
      </c>
      <c r="L28" s="3">
        <v>2604226</v>
      </c>
    </row>
    <row r="29" spans="1:12">
      <c r="B29" s="31"/>
      <c r="C29" s="25"/>
      <c r="F29">
        <v>2043</v>
      </c>
      <c r="H29" s="16">
        <v>17.987200000000001</v>
      </c>
      <c r="J29" s="35">
        <f t="shared" si="1"/>
        <v>1.4568111725277988</v>
      </c>
      <c r="K29" s="35">
        <f t="shared" si="0"/>
        <v>0.23171206399638106</v>
      </c>
      <c r="L29" s="3">
        <v>2640249</v>
      </c>
    </row>
    <row r="30" spans="1:12">
      <c r="B30" s="31"/>
      <c r="F30">
        <v>2044</v>
      </c>
      <c r="H30" s="16">
        <v>16.352000000000004</v>
      </c>
      <c r="J30" s="35">
        <f t="shared" si="1"/>
        <v>1.4859473959783549</v>
      </c>
      <c r="K30" s="35">
        <f t="shared" si="0"/>
        <v>0.21454820740405653</v>
      </c>
      <c r="L30" s="3">
        <v>2659472</v>
      </c>
    </row>
    <row r="31" spans="1:12">
      <c r="B31" s="31"/>
      <c r="F31" s="40">
        <v>2045</v>
      </c>
      <c r="G31" s="40"/>
      <c r="H31" s="40"/>
      <c r="I31" s="40"/>
      <c r="J31" s="43"/>
      <c r="K31" s="43">
        <f t="shared" si="0"/>
        <v>0.19865574759634863</v>
      </c>
      <c r="L31" s="77">
        <v>-258697</v>
      </c>
    </row>
    <row r="32" spans="1:12">
      <c r="B32" s="31"/>
    </row>
    <row r="33" spans="2:12">
      <c r="B33" s="31"/>
      <c r="J33" s="32" t="s">
        <v>113</v>
      </c>
      <c r="L33" s="3">
        <f>SUMPRODUCT(L6:L31,$K6:$K31)</f>
        <v>17001398.611557245</v>
      </c>
    </row>
    <row r="34" spans="2:12">
      <c r="B34" s="31"/>
      <c r="J34" s="32" t="s">
        <v>66</v>
      </c>
      <c r="K34" s="3">
        <f>SUMPRODUCT(H6:H31,$K6:$K31)</f>
        <v>173.86436494705885</v>
      </c>
      <c r="L34" s="3"/>
    </row>
    <row r="35" spans="2:12">
      <c r="B35" s="31"/>
      <c r="J35" s="32" t="s">
        <v>62</v>
      </c>
      <c r="L35" s="36">
        <f>L$33/$K34/1000</f>
        <v>97.785412305357212</v>
      </c>
    </row>
    <row r="36" spans="2:12">
      <c r="B36" s="31"/>
      <c r="J36" s="32" t="s">
        <v>63</v>
      </c>
      <c r="L36" s="36">
        <f>L35/$B$4</f>
        <v>90.338605890421078</v>
      </c>
    </row>
    <row r="37" spans="2:12">
      <c r="B37" s="31"/>
      <c r="J37" s="32" t="s">
        <v>67</v>
      </c>
      <c r="K37" s="3">
        <f>SUMPRODUCT(H6:H31,J6:J31,K6:K31)</f>
        <v>204.92963348117303</v>
      </c>
      <c r="L37" s="36"/>
    </row>
    <row r="38" spans="2:12">
      <c r="B38" s="31"/>
      <c r="J38" s="32" t="s">
        <v>64</v>
      </c>
      <c r="L38" s="36">
        <f>L33/$K37/1000</f>
        <v>82.962128623136252</v>
      </c>
    </row>
    <row r="39" spans="2:12">
      <c r="B39" s="31"/>
      <c r="J39" s="32" t="s">
        <v>65</v>
      </c>
      <c r="L39" s="36">
        <f>L38/$B$4</f>
        <v>76.644183061907782</v>
      </c>
    </row>
    <row r="40" spans="2:12">
      <c r="B40" s="31"/>
      <c r="F40" s="32"/>
      <c r="L40" s="36"/>
    </row>
    <row r="41" spans="2:12">
      <c r="B41" s="31"/>
    </row>
    <row r="42" spans="2:12">
      <c r="B42" s="31"/>
      <c r="F42" s="32"/>
      <c r="L42" s="36"/>
    </row>
    <row r="43" spans="2:12">
      <c r="F43" s="32"/>
      <c r="L43" s="3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39262-2F6A-164D-8B9E-983B566275A7}">
  <sheetPr codeName="Sheet6"/>
  <dimension ref="A1:F31"/>
  <sheetViews>
    <sheetView workbookViewId="0">
      <selection activeCell="C20" sqref="C20"/>
    </sheetView>
  </sheetViews>
  <sheetFormatPr baseColWidth="10" defaultRowHeight="16"/>
  <cols>
    <col min="2" max="2" width="2.83203125" customWidth="1"/>
    <col min="4" max="4" width="2.83203125" customWidth="1"/>
  </cols>
  <sheetData>
    <row r="1" spans="1:6">
      <c r="A1" t="s">
        <v>118</v>
      </c>
    </row>
    <row r="3" spans="1:6" ht="17">
      <c r="A3" s="5"/>
      <c r="B3" s="5"/>
      <c r="C3" s="6" t="s">
        <v>30</v>
      </c>
      <c r="D3" s="5"/>
      <c r="E3" s="5" t="s">
        <v>0</v>
      </c>
    </row>
    <row r="4" spans="1:6" ht="51">
      <c r="A4" s="5"/>
      <c r="B4" s="4"/>
      <c r="C4" s="4" t="s">
        <v>4</v>
      </c>
      <c r="D4" s="4"/>
      <c r="E4" s="4" t="s">
        <v>4</v>
      </c>
    </row>
    <row r="5" spans="1:6">
      <c r="A5">
        <v>2020</v>
      </c>
      <c r="E5" s="3">
        <f>CEERT!L6</f>
        <v>16758</v>
      </c>
    </row>
    <row r="6" spans="1:6">
      <c r="A6">
        <v>2021</v>
      </c>
      <c r="E6" s="3">
        <f>CEERT!L7</f>
        <v>55751</v>
      </c>
    </row>
    <row r="7" spans="1:6">
      <c r="A7">
        <v>2022</v>
      </c>
      <c r="E7" s="3">
        <f>CEERT!L8</f>
        <v>123781</v>
      </c>
    </row>
    <row r="8" spans="1:6">
      <c r="A8">
        <v>2023</v>
      </c>
      <c r="E8" s="3">
        <f>CEERT!L9</f>
        <v>246166</v>
      </c>
    </row>
    <row r="9" spans="1:6">
      <c r="A9">
        <v>2024</v>
      </c>
      <c r="E9" s="3">
        <f>CEERT!L10</f>
        <v>251590</v>
      </c>
    </row>
    <row r="10" spans="1:6">
      <c r="A10">
        <v>2025</v>
      </c>
      <c r="C10" s="8">
        <f>'Stanford MIT'!O11</f>
        <v>787553.25299854937</v>
      </c>
      <c r="E10" s="3">
        <f>CEERT!L11</f>
        <v>1003091</v>
      </c>
      <c r="F10" s="2">
        <f t="shared" ref="F10:F28" si="0">E10/C10-1</f>
        <v>0.2736802193131791</v>
      </c>
    </row>
    <row r="11" spans="1:6">
      <c r="A11">
        <v>2026</v>
      </c>
      <c r="C11" s="8">
        <f>'Stanford MIT'!O12</f>
        <v>803304.31805852032</v>
      </c>
      <c r="E11" s="3">
        <f>CEERT!L12</f>
        <v>1103203</v>
      </c>
      <c r="F11" s="2">
        <f t="shared" si="0"/>
        <v>0.37333134554323677</v>
      </c>
    </row>
    <row r="12" spans="1:6">
      <c r="A12">
        <v>2027</v>
      </c>
      <c r="C12" s="8">
        <f>'Stanford MIT'!O13</f>
        <v>819370.40441969072</v>
      </c>
      <c r="E12" s="3">
        <f>CEERT!L13</f>
        <v>1180660</v>
      </c>
      <c r="F12" s="2">
        <f t="shared" si="0"/>
        <v>0.44093561792262714</v>
      </c>
    </row>
    <row r="13" spans="1:6">
      <c r="A13">
        <v>2028</v>
      </c>
      <c r="C13" s="8">
        <f>'Stanford MIT'!O14</f>
        <v>835757.81250808469</v>
      </c>
      <c r="E13" s="3">
        <f>CEERT!L14</f>
        <v>1260286</v>
      </c>
      <c r="F13" s="2">
        <f t="shared" si="0"/>
        <v>0.50795599052543539</v>
      </c>
    </row>
    <row r="14" spans="1:6">
      <c r="A14">
        <v>2029</v>
      </c>
      <c r="C14" s="8">
        <f>'Stanford MIT'!O15</f>
        <v>852472.9687582464</v>
      </c>
      <c r="E14" s="3">
        <f>CEERT!L15</f>
        <v>1434548</v>
      </c>
      <c r="F14" s="2">
        <f t="shared" si="0"/>
        <v>0.68280761100217924</v>
      </c>
    </row>
    <row r="15" spans="1:6">
      <c r="A15">
        <v>2030</v>
      </c>
      <c r="C15" s="8">
        <f>'Stanford MIT'!O16</f>
        <v>869522.42813341133</v>
      </c>
      <c r="E15" s="3">
        <f>CEERT!L16</f>
        <v>1427066</v>
      </c>
      <c r="F15" s="2">
        <f t="shared" si="0"/>
        <v>0.64120665991728099</v>
      </c>
    </row>
    <row r="16" spans="1:6">
      <c r="A16">
        <v>2031</v>
      </c>
      <c r="C16" s="8">
        <f>'Stanford MIT'!O17</f>
        <v>886912.8766960795</v>
      </c>
      <c r="E16" s="3">
        <f>CEERT!L17</f>
        <v>1514828</v>
      </c>
      <c r="F16" s="2">
        <f t="shared" si="0"/>
        <v>0.70797835932095698</v>
      </c>
    </row>
    <row r="17" spans="1:6">
      <c r="A17">
        <v>2032</v>
      </c>
      <c r="C17" s="8">
        <f>'Stanford MIT'!O18</f>
        <v>904651.13423000113</v>
      </c>
      <c r="E17" s="3">
        <f>CEERT!L18</f>
        <v>1605889</v>
      </c>
      <c r="F17" s="2">
        <f t="shared" si="0"/>
        <v>0.77514727969347152</v>
      </c>
    </row>
    <row r="18" spans="1:6">
      <c r="A18">
        <v>2033</v>
      </c>
      <c r="C18" s="8">
        <f>'Stanford MIT'!O19</f>
        <v>922744.1569146011</v>
      </c>
      <c r="E18" s="3">
        <f>CEERT!L19</f>
        <v>1700590</v>
      </c>
      <c r="F18" s="2">
        <f t="shared" si="0"/>
        <v>0.84297021797060001</v>
      </c>
    </row>
    <row r="19" spans="1:6">
      <c r="A19">
        <v>2034</v>
      </c>
      <c r="C19" s="8">
        <f>'Stanford MIT'!O20</f>
        <v>941199.04005289322</v>
      </c>
      <c r="E19" s="3">
        <f>CEERT!L20</f>
        <v>1913393</v>
      </c>
      <c r="F19" s="2">
        <f t="shared" si="0"/>
        <v>1.032931312692873</v>
      </c>
    </row>
    <row r="20" spans="1:6">
      <c r="A20">
        <v>2035</v>
      </c>
      <c r="C20" s="8">
        <f>'Stanford MIT'!O21</f>
        <v>960023.02085395111</v>
      </c>
      <c r="E20" s="3">
        <f>CEERT!L21</f>
        <v>1903022</v>
      </c>
      <c r="F20" s="2">
        <f t="shared" si="0"/>
        <v>0.98226704845810975</v>
      </c>
    </row>
    <row r="21" spans="1:6">
      <c r="A21">
        <v>2036</v>
      </c>
      <c r="C21" s="8">
        <f>'Stanford MIT'!O22</f>
        <v>979223.48127103015</v>
      </c>
      <c r="E21" s="3">
        <f>CEERT!L22</f>
        <v>2012267</v>
      </c>
      <c r="F21" s="2">
        <f t="shared" si="0"/>
        <v>1.0549619555569496</v>
      </c>
    </row>
    <row r="22" spans="1:6">
      <c r="A22">
        <v>2037</v>
      </c>
      <c r="C22" s="8">
        <f>'Stanford MIT'!O23</f>
        <v>998807.95089645078</v>
      </c>
      <c r="E22" s="3">
        <f>CEERT!L23</f>
        <v>2128383</v>
      </c>
      <c r="F22" s="2">
        <f t="shared" si="0"/>
        <v>1.1309231650486287</v>
      </c>
    </row>
    <row r="23" spans="1:6">
      <c r="A23">
        <v>2038</v>
      </c>
      <c r="C23" s="8">
        <f>'Stanford MIT'!O24</f>
        <v>1018784.1099143798</v>
      </c>
      <c r="E23" s="3">
        <f>CEERT!L24</f>
        <v>2253173</v>
      </c>
      <c r="F23" s="2">
        <f t="shared" si="0"/>
        <v>1.2116295082275679</v>
      </c>
    </row>
    <row r="24" spans="1:6">
      <c r="A24">
        <v>2039</v>
      </c>
      <c r="C24" s="8">
        <f>'Stanford MIT'!O25</f>
        <v>1039159.7921126673</v>
      </c>
      <c r="E24" s="3">
        <f>CEERT!L25</f>
        <v>2507323</v>
      </c>
      <c r="F24" s="2">
        <f t="shared" si="0"/>
        <v>1.4128368120387709</v>
      </c>
    </row>
    <row r="25" spans="1:6">
      <c r="A25">
        <v>2040</v>
      </c>
      <c r="C25" s="8">
        <f>'Stanford MIT'!O26</f>
        <v>1059942.9879549209</v>
      </c>
      <c r="E25" s="3">
        <f>CEERT!L26</f>
        <v>2463308</v>
      </c>
      <c r="F25" s="2">
        <f t="shared" si="0"/>
        <v>1.3240004679428701</v>
      </c>
    </row>
    <row r="26" spans="1:6">
      <c r="A26">
        <v>2041</v>
      </c>
      <c r="C26" s="8">
        <f>'Stanford MIT'!O27</f>
        <v>1081141.8477140192</v>
      </c>
      <c r="E26" s="3">
        <f>CEERT!L27</f>
        <v>2542403</v>
      </c>
      <c r="F26" s="2">
        <f t="shared" si="0"/>
        <v>1.3515905941257298</v>
      </c>
    </row>
    <row r="27" spans="1:6">
      <c r="A27">
        <v>2042</v>
      </c>
      <c r="C27" s="8">
        <f>'Stanford MIT'!O28</f>
        <v>1102764.6846682997</v>
      </c>
      <c r="E27" s="3">
        <f>CEERT!L28</f>
        <v>2604226</v>
      </c>
      <c r="F27" s="2">
        <f t="shared" si="0"/>
        <v>1.3615427989365876</v>
      </c>
    </row>
    <row r="28" spans="1:6">
      <c r="A28">
        <v>2043</v>
      </c>
      <c r="C28" s="8">
        <f>'Stanford MIT'!O29</f>
        <v>1124819.9783616657</v>
      </c>
      <c r="E28" s="3">
        <f>CEERT!L29</f>
        <v>2640249</v>
      </c>
      <c r="F28" s="2">
        <f t="shared" si="0"/>
        <v>1.3472636073246158</v>
      </c>
    </row>
    <row r="29" spans="1:6">
      <c r="A29">
        <v>2044</v>
      </c>
      <c r="C29" s="8">
        <f>'Stanford MIT'!O30</f>
        <v>1147316.3779288991</v>
      </c>
      <c r="E29" s="3">
        <f>CEERT!L30</f>
        <v>2659472</v>
      </c>
      <c r="F29" s="2">
        <f>E29/C29-1</f>
        <v>1.3179935815095734</v>
      </c>
    </row>
    <row r="30" spans="1:6">
      <c r="A30">
        <v>2045</v>
      </c>
      <c r="E30" s="3">
        <f>CEERT!L31</f>
        <v>-258697</v>
      </c>
    </row>
    <row r="31" spans="1:6">
      <c r="E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81FBD-3C42-4141-BBC3-18FBFEB33BFD}">
  <sheetPr codeName="Sheet11"/>
  <dimension ref="B2:Q41"/>
  <sheetViews>
    <sheetView topLeftCell="A8" workbookViewId="0">
      <selection activeCell="L21" sqref="L21"/>
    </sheetView>
  </sheetViews>
  <sheetFormatPr baseColWidth="10" defaultRowHeight="16"/>
  <cols>
    <col min="1" max="1" width="2.83203125" customWidth="1"/>
    <col min="3" max="3" width="11.83203125" bestFit="1" customWidth="1"/>
    <col min="5" max="5" width="7.1640625" bestFit="1" customWidth="1"/>
    <col min="11" max="11" width="2.83203125" customWidth="1"/>
    <col min="18" max="18" width="2.83203125" customWidth="1"/>
  </cols>
  <sheetData>
    <row r="2" spans="2:17" s="9" customFormat="1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2:17" s="5" customFormat="1" ht="17" thickBot="1">
      <c r="B3" s="42" t="s">
        <v>79</v>
      </c>
      <c r="C3" s="75"/>
      <c r="D3" s="42"/>
      <c r="E3" s="42"/>
      <c r="F3" s="42"/>
      <c r="G3" s="42"/>
      <c r="H3" s="42"/>
      <c r="I3" s="42"/>
      <c r="J3" s="42"/>
      <c r="K3"/>
      <c r="L3" s="42" t="s">
        <v>10</v>
      </c>
      <c r="M3" s="42"/>
      <c r="N3" s="42"/>
      <c r="O3" s="42"/>
      <c r="P3" s="42"/>
      <c r="Q3" s="42"/>
    </row>
    <row r="4" spans="2:17">
      <c r="B4" s="9"/>
      <c r="C4" s="5"/>
      <c r="D4" s="9"/>
      <c r="E4" s="9"/>
      <c r="F4" s="9" t="s">
        <v>80</v>
      </c>
      <c r="G4" s="9"/>
      <c r="H4" s="9"/>
      <c r="I4" s="9" t="s">
        <v>81</v>
      </c>
      <c r="J4" s="9" t="s">
        <v>82</v>
      </c>
      <c r="K4" s="9"/>
      <c r="L4" s="9"/>
      <c r="M4" s="9" t="s">
        <v>80</v>
      </c>
      <c r="N4" s="9"/>
      <c r="O4" s="9" t="s">
        <v>81</v>
      </c>
      <c r="P4" s="9" t="s">
        <v>82</v>
      </c>
      <c r="Q4" s="9"/>
    </row>
    <row r="5" spans="2:17" ht="85">
      <c r="B5" s="76"/>
      <c r="C5" s="37" t="s">
        <v>73</v>
      </c>
      <c r="D5" s="76" t="s">
        <v>70</v>
      </c>
      <c r="E5" s="76" t="s">
        <v>69</v>
      </c>
      <c r="F5" s="76" t="s">
        <v>7</v>
      </c>
      <c r="G5" s="76" t="s">
        <v>8</v>
      </c>
      <c r="H5" s="76" t="s">
        <v>72</v>
      </c>
      <c r="I5" s="76" t="s">
        <v>74</v>
      </c>
      <c r="J5" s="76" t="s">
        <v>71</v>
      </c>
      <c r="K5" s="5"/>
      <c r="L5" s="76" t="s">
        <v>75</v>
      </c>
      <c r="M5" s="76" t="s">
        <v>76</v>
      </c>
      <c r="N5" s="76" t="s">
        <v>77</v>
      </c>
      <c r="O5" s="76" t="s">
        <v>78</v>
      </c>
      <c r="P5" s="76" t="s">
        <v>71</v>
      </c>
      <c r="Q5" s="76" t="s">
        <v>83</v>
      </c>
    </row>
    <row r="6" spans="2:17">
      <c r="B6">
        <v>2020</v>
      </c>
      <c r="C6" s="3">
        <f>CEERT!L6</f>
        <v>16758</v>
      </c>
      <c r="G6" s="3">
        <f t="shared" ref="G6:G31" si="0">C6-F6</f>
        <v>16758</v>
      </c>
      <c r="I6">
        <v>0</v>
      </c>
      <c r="J6" s="3">
        <f t="shared" ref="J6:J10" si="1">G6-I6</f>
        <v>16758</v>
      </c>
      <c r="P6" s="3">
        <f>J6</f>
        <v>16758</v>
      </c>
      <c r="Q6" s="3">
        <f>M6+O6+P6</f>
        <v>16758</v>
      </c>
    </row>
    <row r="7" spans="2:17">
      <c r="B7">
        <v>2021</v>
      </c>
      <c r="C7" s="3">
        <f>CEERT!L7</f>
        <v>55751</v>
      </c>
      <c r="G7" s="3">
        <f t="shared" si="0"/>
        <v>55751</v>
      </c>
      <c r="I7">
        <v>0</v>
      </c>
      <c r="J7" s="3">
        <f t="shared" si="1"/>
        <v>55751</v>
      </c>
      <c r="P7" s="3">
        <f>J7</f>
        <v>55751</v>
      </c>
      <c r="Q7" s="3">
        <f t="shared" ref="Q7:Q31" si="2">M7+O7+P7</f>
        <v>55751</v>
      </c>
    </row>
    <row r="8" spans="2:17">
      <c r="B8">
        <v>2022</v>
      </c>
      <c r="C8" s="3">
        <f>CEERT!L8</f>
        <v>123781</v>
      </c>
      <c r="D8" s="8"/>
      <c r="E8" s="8"/>
      <c r="G8" s="3">
        <f t="shared" si="0"/>
        <v>123781</v>
      </c>
      <c r="I8">
        <v>0</v>
      </c>
      <c r="J8" s="3">
        <f t="shared" si="1"/>
        <v>123781</v>
      </c>
      <c r="P8" s="3">
        <f>J8</f>
        <v>123781</v>
      </c>
      <c r="Q8" s="3">
        <f t="shared" si="2"/>
        <v>123781</v>
      </c>
    </row>
    <row r="9" spans="2:17">
      <c r="B9">
        <v>2023</v>
      </c>
      <c r="C9" s="3">
        <f>CEERT!L9</f>
        <v>246166</v>
      </c>
      <c r="D9" s="1"/>
      <c r="E9" s="1"/>
      <c r="G9" s="3">
        <f t="shared" si="0"/>
        <v>246166</v>
      </c>
      <c r="I9">
        <v>0</v>
      </c>
      <c r="J9" s="3">
        <f t="shared" si="1"/>
        <v>246166</v>
      </c>
      <c r="P9" s="3">
        <f>J9</f>
        <v>246166</v>
      </c>
      <c r="Q9" s="3">
        <f t="shared" si="2"/>
        <v>246166</v>
      </c>
    </row>
    <row r="10" spans="2:17">
      <c r="B10">
        <v>2024</v>
      </c>
      <c r="C10" s="3">
        <f>CEERT!L10</f>
        <v>251590</v>
      </c>
      <c r="G10" s="3">
        <f t="shared" si="0"/>
        <v>251590</v>
      </c>
      <c r="I10">
        <v>0</v>
      </c>
      <c r="J10" s="3">
        <f t="shared" si="1"/>
        <v>251590</v>
      </c>
      <c r="P10" s="3">
        <f>J10</f>
        <v>251590</v>
      </c>
      <c r="Q10" s="3">
        <f t="shared" si="2"/>
        <v>251590</v>
      </c>
    </row>
    <row r="11" spans="2:17">
      <c r="B11">
        <v>2025</v>
      </c>
      <c r="C11" s="3">
        <f>CEERT!L11</f>
        <v>1003091</v>
      </c>
      <c r="D11" s="8">
        <f>77.8016052715443*1000</f>
        <v>77801.605271544307</v>
      </c>
      <c r="E11" s="9">
        <v>1</v>
      </c>
      <c r="F11" s="8">
        <f t="shared" ref="F11:F30" si="3">E11*D11</f>
        <v>77801.605271544307</v>
      </c>
      <c r="G11" s="3">
        <f t="shared" si="0"/>
        <v>925289.39472845569</v>
      </c>
      <c r="I11" s="3">
        <f>G11</f>
        <v>925289.39472845569</v>
      </c>
      <c r="J11" s="3">
        <f>G11-I11</f>
        <v>0</v>
      </c>
      <c r="L11" s="8">
        <f>D11</f>
        <v>77801.605271544307</v>
      </c>
      <c r="M11" s="8">
        <f t="shared" ref="M11:M30" si="4">L11*E11</f>
        <v>77801.605271544307</v>
      </c>
      <c r="N11" s="17">
        <f>I11/I$11</f>
        <v>1</v>
      </c>
      <c r="O11" s="8">
        <f t="shared" ref="O11:O30" si="5">(I11/N11)*(1.02^(B11-2025))</f>
        <v>925289.39472845569</v>
      </c>
      <c r="Q11" s="3">
        <f t="shared" si="2"/>
        <v>1003091</v>
      </c>
    </row>
    <row r="12" spans="2:17">
      <c r="B12">
        <v>2026</v>
      </c>
      <c r="C12" s="3">
        <f>CEERT!L12</f>
        <v>1103203</v>
      </c>
      <c r="D12" s="8">
        <f>D11*(1.02)*(1.0228)</f>
        <v>81166.991509170228</v>
      </c>
      <c r="E12" s="9">
        <v>1</v>
      </c>
      <c r="F12" s="8">
        <f t="shared" si="3"/>
        <v>81166.991509170228</v>
      </c>
      <c r="G12" s="3">
        <f t="shared" si="0"/>
        <v>1022036.0084908297</v>
      </c>
      <c r="H12" s="12">
        <f>(G12/G11)-1</f>
        <v>0.10455822179910124</v>
      </c>
      <c r="I12" s="3">
        <f t="shared" ref="I12:I25" si="6">G12</f>
        <v>1022036.0084908297</v>
      </c>
      <c r="J12" s="3">
        <f t="shared" ref="J12:J31" si="7">G12-I12</f>
        <v>0</v>
      </c>
      <c r="L12" s="8">
        <f>L11*1.02</f>
        <v>79357.637376975195</v>
      </c>
      <c r="M12" s="8">
        <f t="shared" si="4"/>
        <v>79357.637376975195</v>
      </c>
      <c r="N12" s="17">
        <f t="shared" ref="N12:N30" si="8">I12/I$11</f>
        <v>1.1045582217991012</v>
      </c>
      <c r="O12" s="8">
        <f t="shared" si="5"/>
        <v>943795.1826230248</v>
      </c>
      <c r="Q12" s="3">
        <f t="shared" si="2"/>
        <v>1023152.82</v>
      </c>
    </row>
    <row r="13" spans="2:17">
      <c r="B13">
        <v>2027</v>
      </c>
      <c r="C13" s="3">
        <f>CEERT!L13</f>
        <v>1180660</v>
      </c>
      <c r="D13" s="8">
        <f t="shared" ref="D13:D30" si="9">D12*(1.02)*(1.0228)</f>
        <v>84677.950893890898</v>
      </c>
      <c r="E13" s="9">
        <v>1</v>
      </c>
      <c r="F13" s="8">
        <f t="shared" si="3"/>
        <v>84677.950893890898</v>
      </c>
      <c r="G13" s="3">
        <f t="shared" si="0"/>
        <v>1095982.0491061092</v>
      </c>
      <c r="H13" s="12">
        <f t="shared" ref="H13:H25" si="10">(G13/G12)-1</f>
        <v>7.235169798417429E-2</v>
      </c>
      <c r="I13" s="3">
        <f t="shared" si="6"/>
        <v>1095982.0491061092</v>
      </c>
      <c r="J13" s="3">
        <f t="shared" si="7"/>
        <v>0</v>
      </c>
      <c r="L13" s="8">
        <f t="shared" ref="L13:L30" si="11">L12*1.02</f>
        <v>80944.790124514708</v>
      </c>
      <c r="M13" s="8">
        <f t="shared" si="4"/>
        <v>80944.790124514708</v>
      </c>
      <c r="N13" s="17">
        <f t="shared" si="8"/>
        <v>1.1844748846686464</v>
      </c>
      <c r="O13" s="8">
        <f t="shared" si="5"/>
        <v>962671.08627548534</v>
      </c>
      <c r="Q13" s="3">
        <f t="shared" si="2"/>
        <v>1043615.8764000001</v>
      </c>
    </row>
    <row r="14" spans="2:17">
      <c r="B14">
        <v>2028</v>
      </c>
      <c r="C14" s="3">
        <f>CEERT!L14</f>
        <v>1260286</v>
      </c>
      <c r="D14" s="8">
        <f t="shared" si="9"/>
        <v>88340.780337757038</v>
      </c>
      <c r="E14" s="9">
        <v>1</v>
      </c>
      <c r="F14" s="8">
        <f t="shared" si="3"/>
        <v>88340.780337757038</v>
      </c>
      <c r="G14" s="3">
        <f t="shared" si="0"/>
        <v>1171945.219662243</v>
      </c>
      <c r="H14" s="12">
        <f t="shared" si="10"/>
        <v>6.9310597393533957E-2</v>
      </c>
      <c r="I14" s="3">
        <f t="shared" si="6"/>
        <v>1171945.219662243</v>
      </c>
      <c r="J14" s="3">
        <f t="shared" si="7"/>
        <v>0</v>
      </c>
      <c r="L14" s="8">
        <f t="shared" si="11"/>
        <v>82563.685927005004</v>
      </c>
      <c r="M14" s="8">
        <f t="shared" si="4"/>
        <v>82563.685927005004</v>
      </c>
      <c r="N14" s="17">
        <f t="shared" si="8"/>
        <v>1.2665715465226675</v>
      </c>
      <c r="O14" s="8">
        <f t="shared" si="5"/>
        <v>981924.50800099492</v>
      </c>
      <c r="Q14" s="3">
        <f t="shared" si="2"/>
        <v>1064488.1939279998</v>
      </c>
    </row>
    <row r="15" spans="2:17">
      <c r="B15">
        <v>2029</v>
      </c>
      <c r="C15" s="3">
        <f>CEERT!L15</f>
        <v>1434548</v>
      </c>
      <c r="D15" s="13">
        <f t="shared" si="9"/>
        <v>92162.049132047061</v>
      </c>
      <c r="E15" s="48">
        <v>2</v>
      </c>
      <c r="F15" s="13">
        <f t="shared" si="3"/>
        <v>184324.09826409412</v>
      </c>
      <c r="G15" s="14">
        <f t="shared" si="0"/>
        <v>1250223.9017359058</v>
      </c>
      <c r="H15" s="15">
        <f t="shared" si="10"/>
        <v>6.6793806365985864E-2</v>
      </c>
      <c r="I15" s="3">
        <f t="shared" si="6"/>
        <v>1250223.9017359058</v>
      </c>
      <c r="J15" s="3">
        <f t="shared" si="7"/>
        <v>0</v>
      </c>
      <c r="L15" s="8">
        <f t="shared" si="11"/>
        <v>84214.95964554511</v>
      </c>
      <c r="M15" s="8">
        <f t="shared" si="4"/>
        <v>168429.91929109022</v>
      </c>
      <c r="N15" s="17">
        <f t="shared" si="8"/>
        <v>1.3511706811497699</v>
      </c>
      <c r="O15" s="8">
        <f t="shared" si="5"/>
        <v>1001562.9981610149</v>
      </c>
      <c r="Q15" s="3">
        <f t="shared" si="2"/>
        <v>1169992.9174521051</v>
      </c>
    </row>
    <row r="16" spans="2:17">
      <c r="B16">
        <v>2030</v>
      </c>
      <c r="C16" s="3">
        <f>CEERT!L16</f>
        <v>1427066</v>
      </c>
      <c r="D16" s="13">
        <f t="shared" si="9"/>
        <v>96148.610729302876</v>
      </c>
      <c r="E16" s="48">
        <v>1</v>
      </c>
      <c r="F16" s="13">
        <f t="shared" si="3"/>
        <v>96148.610729302876</v>
      </c>
      <c r="G16" s="14">
        <f t="shared" si="0"/>
        <v>1330917.389270697</v>
      </c>
      <c r="H16" s="15">
        <f t="shared" si="10"/>
        <v>6.4543228955029841E-2</v>
      </c>
      <c r="I16" s="3">
        <f t="shared" si="6"/>
        <v>1330917.389270697</v>
      </c>
      <c r="J16" s="3">
        <f t="shared" si="7"/>
        <v>0</v>
      </c>
      <c r="L16" s="8">
        <f t="shared" si="11"/>
        <v>85899.258838456008</v>
      </c>
      <c r="M16" s="8">
        <f t="shared" si="4"/>
        <v>85899.258838456008</v>
      </c>
      <c r="N16" s="17">
        <f t="shared" si="8"/>
        <v>1.4383795997805431</v>
      </c>
      <c r="O16" s="8">
        <f t="shared" si="5"/>
        <v>1021594.2581242352</v>
      </c>
      <c r="Q16" s="3">
        <f t="shared" si="2"/>
        <v>1107493.5169626912</v>
      </c>
    </row>
    <row r="17" spans="2:17">
      <c r="B17">
        <v>2031</v>
      </c>
      <c r="C17" s="3">
        <f>CEERT!L17</f>
        <v>1514828</v>
      </c>
      <c r="D17" s="13">
        <f t="shared" si="9"/>
        <v>100307.6150350096</v>
      </c>
      <c r="E17" s="48">
        <v>1</v>
      </c>
      <c r="F17" s="13">
        <f t="shared" si="3"/>
        <v>100307.6150350096</v>
      </c>
      <c r="G17" s="14">
        <f t="shared" si="0"/>
        <v>1414520.3849649904</v>
      </c>
      <c r="H17" s="15">
        <f t="shared" si="10"/>
        <v>6.2816066848525809E-2</v>
      </c>
      <c r="I17" s="3">
        <f t="shared" si="6"/>
        <v>1414520.3849649904</v>
      </c>
      <c r="J17" s="3">
        <f t="shared" si="7"/>
        <v>0</v>
      </c>
      <c r="L17" s="8">
        <f t="shared" si="11"/>
        <v>87617.244015225137</v>
      </c>
      <c r="M17" s="8">
        <f t="shared" si="4"/>
        <v>87617.244015225137</v>
      </c>
      <c r="N17" s="17">
        <f t="shared" si="8"/>
        <v>1.5287329488739132</v>
      </c>
      <c r="O17" s="8">
        <f t="shared" si="5"/>
        <v>1042026.1432867199</v>
      </c>
      <c r="Q17" s="3">
        <f t="shared" si="2"/>
        <v>1129643.3873019451</v>
      </c>
    </row>
    <row r="18" spans="2:17">
      <c r="B18">
        <v>2032</v>
      </c>
      <c r="C18" s="3">
        <f>CEERT!L18</f>
        <v>1605889</v>
      </c>
      <c r="D18" s="13">
        <f t="shared" si="9"/>
        <v>104646.52123096398</v>
      </c>
      <c r="E18" s="48">
        <v>1</v>
      </c>
      <c r="F18" s="13">
        <f t="shared" si="3"/>
        <v>104646.52123096398</v>
      </c>
      <c r="G18" s="14">
        <f t="shared" si="0"/>
        <v>1501242.478769036</v>
      </c>
      <c r="H18" s="15">
        <f t="shared" si="10"/>
        <v>6.1308479344531985E-2</v>
      </c>
      <c r="I18" s="3">
        <f t="shared" si="6"/>
        <v>1501242.478769036</v>
      </c>
      <c r="J18" s="3">
        <f t="shared" si="7"/>
        <v>0</v>
      </c>
      <c r="L18" s="8">
        <f t="shared" si="11"/>
        <v>89369.58889552964</v>
      </c>
      <c r="M18" s="8">
        <f t="shared" si="4"/>
        <v>89369.58889552964</v>
      </c>
      <c r="N18" s="17">
        <f t="shared" si="8"/>
        <v>1.6224572412932552</v>
      </c>
      <c r="O18" s="8">
        <f t="shared" si="5"/>
        <v>1062866.6661524542</v>
      </c>
      <c r="Q18" s="3">
        <f t="shared" si="2"/>
        <v>1152236.255047984</v>
      </c>
    </row>
    <row r="19" spans="2:17">
      <c r="B19">
        <v>2033</v>
      </c>
      <c r="C19" s="3">
        <f>CEERT!L19</f>
        <v>1700590</v>
      </c>
      <c r="D19" s="13">
        <f t="shared" si="9"/>
        <v>109173.11115333054</v>
      </c>
      <c r="E19" s="48">
        <v>1</v>
      </c>
      <c r="F19" s="13">
        <f t="shared" si="3"/>
        <v>109173.11115333054</v>
      </c>
      <c r="G19" s="14">
        <f t="shared" si="0"/>
        <v>1591416.8888466693</v>
      </c>
      <c r="H19" s="15">
        <f t="shared" si="10"/>
        <v>6.006651913525185E-2</v>
      </c>
      <c r="I19" s="3">
        <f t="shared" si="6"/>
        <v>1591416.8888466693</v>
      </c>
      <c r="J19" s="3">
        <f t="shared" si="7"/>
        <v>0</v>
      </c>
      <c r="L19" s="8">
        <f t="shared" si="11"/>
        <v>91156.980673440237</v>
      </c>
      <c r="M19" s="8">
        <f t="shared" si="4"/>
        <v>91156.980673440237</v>
      </c>
      <c r="N19" s="17">
        <f t="shared" si="8"/>
        <v>1.7199126002235245</v>
      </c>
      <c r="O19" s="8">
        <f t="shared" si="5"/>
        <v>1084123.9994755033</v>
      </c>
      <c r="Q19" s="3">
        <f t="shared" si="2"/>
        <v>1175280.9801489436</v>
      </c>
    </row>
    <row r="20" spans="2:17">
      <c r="B20">
        <v>2034</v>
      </c>
      <c r="C20" s="3">
        <f>CEERT!L20</f>
        <v>1913393</v>
      </c>
      <c r="D20" s="13">
        <f t="shared" si="9"/>
        <v>113895.50324937899</v>
      </c>
      <c r="E20" s="48">
        <v>2</v>
      </c>
      <c r="F20" s="13">
        <f t="shared" si="3"/>
        <v>227791.00649875798</v>
      </c>
      <c r="G20" s="14">
        <f t="shared" si="0"/>
        <v>1685601.993501242</v>
      </c>
      <c r="H20" s="15">
        <f t="shared" si="10"/>
        <v>5.9183175266432242E-2</v>
      </c>
      <c r="I20" s="3">
        <f t="shared" si="6"/>
        <v>1685601.993501242</v>
      </c>
      <c r="J20" s="3">
        <f t="shared" si="7"/>
        <v>0</v>
      </c>
      <c r="L20" s="8">
        <f t="shared" si="11"/>
        <v>92980.120286909048</v>
      </c>
      <c r="M20" s="8">
        <f t="shared" si="4"/>
        <v>185960.2405738181</v>
      </c>
      <c r="N20" s="17">
        <f t="shared" si="8"/>
        <v>1.8217024890854985</v>
      </c>
      <c r="O20" s="8">
        <f t="shared" si="5"/>
        <v>1105806.4794650134</v>
      </c>
      <c r="Q20" s="3">
        <f t="shared" si="2"/>
        <v>1291766.7200388315</v>
      </c>
    </row>
    <row r="21" spans="2:17">
      <c r="B21">
        <v>2035</v>
      </c>
      <c r="C21" s="3">
        <f>CEERT!L21</f>
        <v>1903022</v>
      </c>
      <c r="D21" s="13">
        <f t="shared" si="9"/>
        <v>118822.16713793411</v>
      </c>
      <c r="E21" s="48">
        <v>1</v>
      </c>
      <c r="F21" s="13">
        <f t="shared" si="3"/>
        <v>118822.16713793411</v>
      </c>
      <c r="G21" s="14">
        <f t="shared" si="0"/>
        <v>1784199.8328620659</v>
      </c>
      <c r="H21" s="15">
        <f t="shared" si="10"/>
        <v>5.8494140218724899E-2</v>
      </c>
      <c r="I21" s="3">
        <f t="shared" si="6"/>
        <v>1784199.8328620659</v>
      </c>
      <c r="J21" s="3">
        <f t="shared" si="7"/>
        <v>0</v>
      </c>
      <c r="L21" s="8">
        <f t="shared" si="11"/>
        <v>94839.722692647236</v>
      </c>
      <c r="M21" s="8">
        <f t="shared" si="4"/>
        <v>94839.722692647236</v>
      </c>
      <c r="N21" s="17">
        <f t="shared" si="8"/>
        <v>1.9282614099188657</v>
      </c>
      <c r="O21" s="8">
        <f t="shared" si="5"/>
        <v>1127922.6090543137</v>
      </c>
      <c r="Q21" s="3">
        <f t="shared" si="2"/>
        <v>1222762.331746961</v>
      </c>
    </row>
    <row r="22" spans="2:17">
      <c r="B22">
        <v>2036</v>
      </c>
      <c r="C22" s="3">
        <f>CEERT!L22</f>
        <v>2012267</v>
      </c>
      <c r="D22" s="13">
        <f t="shared" si="9"/>
        <v>123961.93879965258</v>
      </c>
      <c r="E22" s="48">
        <v>1</v>
      </c>
      <c r="F22" s="13">
        <f t="shared" si="3"/>
        <v>123961.93879965258</v>
      </c>
      <c r="G22" s="14">
        <f t="shared" si="0"/>
        <v>1888305.0612003475</v>
      </c>
      <c r="H22" s="15">
        <f t="shared" si="10"/>
        <v>5.8348412784729797E-2</v>
      </c>
      <c r="I22" s="3">
        <f t="shared" si="6"/>
        <v>1888305.0612003475</v>
      </c>
      <c r="J22" s="3">
        <f t="shared" si="7"/>
        <v>0</v>
      </c>
      <c r="L22" s="8">
        <f t="shared" si="11"/>
        <v>96736.517146500177</v>
      </c>
      <c r="M22" s="8">
        <f t="shared" si="4"/>
        <v>96736.517146500177</v>
      </c>
      <c r="N22" s="17">
        <f t="shared" si="8"/>
        <v>2.0407724026216765</v>
      </c>
      <c r="O22" s="8">
        <f t="shared" si="5"/>
        <v>1150481.0612353999</v>
      </c>
      <c r="Q22" s="3">
        <f t="shared" si="2"/>
        <v>1247217.5783819002</v>
      </c>
    </row>
    <row r="23" spans="2:17">
      <c r="B23">
        <v>2037</v>
      </c>
      <c r="C23" s="3">
        <f>CEERT!L23</f>
        <v>2128383</v>
      </c>
      <c r="D23" s="13">
        <f t="shared" si="9"/>
        <v>129324.03642437035</v>
      </c>
      <c r="E23" s="48">
        <v>1</v>
      </c>
      <c r="F23" s="13">
        <f t="shared" si="3"/>
        <v>129324.03642437035</v>
      </c>
      <c r="G23" s="14">
        <f t="shared" si="0"/>
        <v>1999058.9635756298</v>
      </c>
      <c r="H23" s="15">
        <f t="shared" si="10"/>
        <v>5.8652547541697908E-2</v>
      </c>
      <c r="I23" s="3">
        <f t="shared" si="6"/>
        <v>1999058.9635756298</v>
      </c>
      <c r="J23" s="3">
        <f t="shared" si="7"/>
        <v>0</v>
      </c>
      <c r="L23" s="8">
        <f t="shared" si="11"/>
        <v>98671.247489430185</v>
      </c>
      <c r="M23" s="8">
        <f t="shared" si="4"/>
        <v>98671.247489430185</v>
      </c>
      <c r="N23" s="17">
        <f t="shared" si="8"/>
        <v>2.1604689029882298</v>
      </c>
      <c r="O23" s="8">
        <f t="shared" si="5"/>
        <v>1173490.6824601081</v>
      </c>
      <c r="Q23" s="3">
        <f t="shared" si="2"/>
        <v>1272161.9299495383</v>
      </c>
    </row>
    <row r="24" spans="2:17">
      <c r="B24">
        <v>2038</v>
      </c>
      <c r="C24" s="3">
        <f>CEERT!L24</f>
        <v>2253173</v>
      </c>
      <c r="D24" s="13">
        <f t="shared" si="9"/>
        <v>134918.0769439429</v>
      </c>
      <c r="E24" s="48">
        <v>1</v>
      </c>
      <c r="F24" s="13">
        <f t="shared" si="3"/>
        <v>134918.0769439429</v>
      </c>
      <c r="G24" s="14">
        <f t="shared" si="0"/>
        <v>2118254.9230560572</v>
      </c>
      <c r="H24" s="15">
        <f t="shared" si="10"/>
        <v>5.9626034875543077E-2</v>
      </c>
      <c r="I24" s="3">
        <f t="shared" si="6"/>
        <v>2118254.9230560572</v>
      </c>
      <c r="J24" s="3">
        <f t="shared" si="7"/>
        <v>0</v>
      </c>
      <c r="L24" s="8">
        <f t="shared" si="11"/>
        <v>100644.67243921879</v>
      </c>
      <c r="M24" s="8">
        <f t="shared" si="4"/>
        <v>100644.67243921879</v>
      </c>
      <c r="N24" s="17">
        <f t="shared" si="8"/>
        <v>2.2892890971453324</v>
      </c>
      <c r="O24" s="8">
        <f t="shared" si="5"/>
        <v>1196960.4961093098</v>
      </c>
      <c r="Q24" s="3">
        <f t="shared" si="2"/>
        <v>1297605.1685485286</v>
      </c>
    </row>
    <row r="25" spans="2:17">
      <c r="B25">
        <v>2039</v>
      </c>
      <c r="C25" s="3">
        <f>CEERT!L25</f>
        <v>2507323</v>
      </c>
      <c r="D25" s="13">
        <f t="shared" si="9"/>
        <v>140754.0932802301</v>
      </c>
      <c r="E25" s="48">
        <v>2</v>
      </c>
      <c r="F25" s="13">
        <f t="shared" si="3"/>
        <v>281508.18656046019</v>
      </c>
      <c r="G25" s="14">
        <f t="shared" si="0"/>
        <v>2225814.8134395396</v>
      </c>
      <c r="H25" s="15">
        <f t="shared" si="10"/>
        <v>5.0777594902648993E-2</v>
      </c>
      <c r="I25" s="3">
        <f t="shared" si="6"/>
        <v>2225814.8134395396</v>
      </c>
      <c r="J25" s="3">
        <f t="shared" si="7"/>
        <v>0</v>
      </c>
      <c r="L25" s="8">
        <f t="shared" si="11"/>
        <v>102657.56588800317</v>
      </c>
      <c r="M25" s="8">
        <f t="shared" si="4"/>
        <v>205315.13177600634</v>
      </c>
      <c r="N25" s="17">
        <f t="shared" si="8"/>
        <v>2.4055336915352288</v>
      </c>
      <c r="O25" s="8">
        <f t="shared" si="5"/>
        <v>1220899.7060314966</v>
      </c>
      <c r="Q25" s="3">
        <f t="shared" si="2"/>
        <v>1426214.8378075031</v>
      </c>
    </row>
    <row r="26" spans="2:17">
      <c r="B26">
        <v>2040</v>
      </c>
      <c r="C26" s="3">
        <f>CEERT!L26</f>
        <v>2463308</v>
      </c>
      <c r="D26" s="8">
        <f t="shared" si="9"/>
        <v>146842.55233915974</v>
      </c>
      <c r="E26" s="9">
        <v>1</v>
      </c>
      <c r="F26" s="8">
        <f t="shared" si="3"/>
        <v>146842.55233915974</v>
      </c>
      <c r="G26" s="14">
        <f t="shared" si="0"/>
        <v>2316465.4476608401</v>
      </c>
      <c r="I26" s="14">
        <f>G$25*(1+H$25)^(B26-B$25)</f>
        <v>2338836.3363646879</v>
      </c>
      <c r="J26" s="3">
        <f t="shared" si="7"/>
        <v>-22370.88870384777</v>
      </c>
      <c r="L26" s="8">
        <f t="shared" si="11"/>
        <v>104710.71720576324</v>
      </c>
      <c r="M26" s="8">
        <f t="shared" si="4"/>
        <v>104710.71720576324</v>
      </c>
      <c r="N26" s="17">
        <f t="shared" si="8"/>
        <v>2.5276809068486785</v>
      </c>
      <c r="O26" s="8">
        <f t="shared" si="5"/>
        <v>1245317.7001521259</v>
      </c>
      <c r="P26" s="3">
        <f>J26</f>
        <v>-22370.88870384777</v>
      </c>
      <c r="Q26" s="3">
        <f t="shared" si="2"/>
        <v>1327657.5286540415</v>
      </c>
    </row>
    <row r="27" spans="2:17">
      <c r="B27">
        <v>2041</v>
      </c>
      <c r="C27" s="3">
        <f>CEERT!L27</f>
        <v>2542403</v>
      </c>
      <c r="D27" s="8">
        <f t="shared" si="9"/>
        <v>153194.37378314242</v>
      </c>
      <c r="E27" s="9">
        <v>1</v>
      </c>
      <c r="F27" s="8">
        <f t="shared" si="3"/>
        <v>153194.37378314242</v>
      </c>
      <c r="G27" s="14">
        <f t="shared" si="0"/>
        <v>2389208.6262168577</v>
      </c>
      <c r="I27" s="14">
        <f>G$25*(1+H$25)^(B27-B$25)</f>
        <v>2457596.8203962096</v>
      </c>
      <c r="J27" s="3">
        <f t="shared" si="7"/>
        <v>-68388.194179351907</v>
      </c>
      <c r="L27" s="8">
        <f t="shared" si="11"/>
        <v>106804.93154987851</v>
      </c>
      <c r="M27" s="8">
        <f t="shared" si="4"/>
        <v>106804.93154987851</v>
      </c>
      <c r="N27" s="17">
        <f t="shared" si="8"/>
        <v>2.6560304639798011</v>
      </c>
      <c r="O27" s="8">
        <f t="shared" si="5"/>
        <v>1270224.0541551686</v>
      </c>
      <c r="P27" s="3">
        <f>J27</f>
        <v>-68388.194179351907</v>
      </c>
      <c r="Q27" s="3">
        <f t="shared" si="2"/>
        <v>1308640.7915256952</v>
      </c>
    </row>
    <row r="28" spans="2:17">
      <c r="B28">
        <v>2042</v>
      </c>
      <c r="C28" s="3">
        <f>CEERT!L28</f>
        <v>2604226</v>
      </c>
      <c r="D28" s="8">
        <f t="shared" si="9"/>
        <v>159820.94961550605</v>
      </c>
      <c r="E28" s="9">
        <v>1</v>
      </c>
      <c r="F28" s="8">
        <f t="shared" si="3"/>
        <v>159820.94961550605</v>
      </c>
      <c r="G28" s="14">
        <f t="shared" si="0"/>
        <v>2444405.050384494</v>
      </c>
      <c r="I28" s="14">
        <f>G$25*(1+H$25)^(B28-B$25)</f>
        <v>2582387.6761763268</v>
      </c>
      <c r="J28" s="3">
        <f t="shared" si="7"/>
        <v>-137982.6257918328</v>
      </c>
      <c r="L28" s="8">
        <f t="shared" si="11"/>
        <v>108941.03018087609</v>
      </c>
      <c r="M28" s="8">
        <f t="shared" si="4"/>
        <v>108941.03018087609</v>
      </c>
      <c r="N28" s="17">
        <f t="shared" si="8"/>
        <v>2.7908973029288626</v>
      </c>
      <c r="O28" s="8">
        <f t="shared" si="5"/>
        <v>1295628.5352382723</v>
      </c>
      <c r="P28" s="3">
        <f>J28</f>
        <v>-137982.6257918328</v>
      </c>
      <c r="Q28" s="3">
        <f t="shared" si="2"/>
        <v>1266586.9396273156</v>
      </c>
    </row>
    <row r="29" spans="2:17">
      <c r="B29">
        <v>2043</v>
      </c>
      <c r="C29" s="3">
        <f>CEERT!L29</f>
        <v>2640249</v>
      </c>
      <c r="D29" s="8">
        <f t="shared" si="9"/>
        <v>166734.16461207435</v>
      </c>
      <c r="E29" s="9">
        <v>1</v>
      </c>
      <c r="F29" s="8">
        <f t="shared" si="3"/>
        <v>166734.16461207435</v>
      </c>
      <c r="G29" s="14">
        <f t="shared" si="0"/>
        <v>2473514.8353879256</v>
      </c>
      <c r="I29" s="14">
        <f>G$25*(1+H$25)^(B29-B$25)</f>
        <v>2713515.1114788009</v>
      </c>
      <c r="J29" s="3">
        <f t="shared" si="7"/>
        <v>-240000.27609087527</v>
      </c>
      <c r="L29" s="8">
        <f t="shared" si="11"/>
        <v>111119.85078449361</v>
      </c>
      <c r="M29" s="8">
        <f t="shared" si="4"/>
        <v>111119.85078449361</v>
      </c>
      <c r="N29" s="17">
        <f t="shared" si="8"/>
        <v>2.9326123555918797</v>
      </c>
      <c r="O29" s="8">
        <f t="shared" si="5"/>
        <v>1321541.1059430372</v>
      </c>
      <c r="P29" s="3">
        <f>J29</f>
        <v>-240000.27609087527</v>
      </c>
      <c r="Q29" s="3">
        <f t="shared" si="2"/>
        <v>1192660.6806366555</v>
      </c>
    </row>
    <row r="30" spans="2:17">
      <c r="B30">
        <v>2044</v>
      </c>
      <c r="C30" s="3">
        <f>CEERT!L30</f>
        <v>2659472</v>
      </c>
      <c r="D30" s="8">
        <f t="shared" si="9"/>
        <v>173946.41763653423</v>
      </c>
      <c r="E30" s="9">
        <v>2</v>
      </c>
      <c r="F30" s="8">
        <f t="shared" si="3"/>
        <v>347892.83527306846</v>
      </c>
      <c r="G30" s="14">
        <f t="shared" si="0"/>
        <v>2311579.1647269316</v>
      </c>
      <c r="I30" s="14">
        <f>G$25*(1+H$25)^(B30-B$25)</f>
        <v>2851300.8825716879</v>
      </c>
      <c r="J30" s="3">
        <f t="shared" si="7"/>
        <v>-539721.71784475632</v>
      </c>
      <c r="L30" s="8">
        <f t="shared" si="11"/>
        <v>113342.24780018348</v>
      </c>
      <c r="M30" s="8">
        <f t="shared" si="4"/>
        <v>226684.49560036696</v>
      </c>
      <c r="N30" s="17">
        <f t="shared" si="8"/>
        <v>3.0815233577906271</v>
      </c>
      <c r="O30" s="8">
        <f t="shared" si="5"/>
        <v>1347971.9280618981</v>
      </c>
      <c r="P30" s="3">
        <f>J30</f>
        <v>-539721.71784475632</v>
      </c>
      <c r="Q30" s="3">
        <f t="shared" si="2"/>
        <v>1034934.7058175087</v>
      </c>
    </row>
    <row r="31" spans="2:17">
      <c r="B31" s="40">
        <v>2045</v>
      </c>
      <c r="C31" s="77">
        <f>CEERT!L31</f>
        <v>-258697</v>
      </c>
      <c r="D31" s="40"/>
      <c r="E31" s="40"/>
      <c r="F31" s="40"/>
      <c r="G31" s="78">
        <f t="shared" si="0"/>
        <v>-258697</v>
      </c>
      <c r="H31" s="40"/>
      <c r="I31" s="40"/>
      <c r="J31" s="77">
        <f t="shared" si="7"/>
        <v>-258697</v>
      </c>
      <c r="L31" s="40"/>
      <c r="M31" s="40"/>
      <c r="N31" s="40"/>
      <c r="O31" s="40"/>
      <c r="P31" s="77">
        <f>C31</f>
        <v>-258697</v>
      </c>
      <c r="Q31" s="77">
        <f t="shared" si="2"/>
        <v>-258697</v>
      </c>
    </row>
    <row r="32" spans="2:17">
      <c r="C32" s="3"/>
    </row>
    <row r="33" spans="2:17">
      <c r="P33" s="32" t="s">
        <v>113</v>
      </c>
      <c r="Q33" s="3">
        <f>SUMPRODUCT(Q6:Q31,CEERT!K6:K31)</f>
        <v>12017880.71212065</v>
      </c>
    </row>
    <row r="34" spans="2:17">
      <c r="P34" s="32"/>
      <c r="Q34" s="3"/>
    </row>
    <row r="35" spans="2:17">
      <c r="P35" s="32"/>
      <c r="Q35" s="36"/>
    </row>
    <row r="36" spans="2:17">
      <c r="P36" s="32"/>
      <c r="Q36" s="36"/>
    </row>
    <row r="37" spans="2:17">
      <c r="P37" s="32"/>
      <c r="Q37" s="36"/>
    </row>
    <row r="38" spans="2:17">
      <c r="P38" s="32" t="s">
        <v>64</v>
      </c>
      <c r="Q38" s="36">
        <f>Q33/CEERT!K37/1000</f>
        <v>58.643937960415755</v>
      </c>
    </row>
    <row r="39" spans="2:17">
      <c r="P39" s="32" t="s">
        <v>65</v>
      </c>
      <c r="Q39" s="36">
        <f>Q38/CEERT!B4</f>
        <v>54.177933848912765</v>
      </c>
    </row>
    <row r="40" spans="2:17">
      <c r="P40" s="32" t="s">
        <v>84</v>
      </c>
      <c r="Q40" s="36">
        <f>Q39-CEERT!L39</f>
        <v>-22.466249212995017</v>
      </c>
    </row>
    <row r="41" spans="2:17" ht="17" thickBot="1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7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E4B93-66ED-6447-BB5F-E00E4351DB65}">
  <sheetPr codeName="Sheet9"/>
  <dimension ref="A1:N40"/>
  <sheetViews>
    <sheetView workbookViewId="0"/>
  </sheetViews>
  <sheetFormatPr baseColWidth="10" defaultRowHeight="16"/>
  <cols>
    <col min="2" max="2" width="2.83203125" customWidth="1"/>
    <col min="4" max="4" width="2.83203125" customWidth="1"/>
    <col min="5" max="6" width="7.6640625" style="32" bestFit="1" customWidth="1"/>
    <col min="7" max="7" width="8.6640625" style="32" bestFit="1" customWidth="1"/>
    <col min="8" max="8" width="2.83203125" customWidth="1"/>
    <col min="9" max="10" width="7.6640625" style="25" bestFit="1" customWidth="1"/>
    <col min="11" max="11" width="8.6640625" style="25" bestFit="1" customWidth="1"/>
    <col min="12" max="12" width="2.83203125" customWidth="1"/>
  </cols>
  <sheetData>
    <row r="1" spans="1:14">
      <c r="A1" t="s">
        <v>6</v>
      </c>
    </row>
    <row r="2" spans="1:14" ht="17" thickBot="1">
      <c r="A2" s="42"/>
      <c r="B2" s="42"/>
      <c r="C2" s="42"/>
      <c r="D2" s="42"/>
      <c r="E2" s="52"/>
      <c r="F2" s="52"/>
      <c r="G2" s="52"/>
      <c r="H2" s="42"/>
      <c r="I2" s="47"/>
      <c r="J2" s="47"/>
      <c r="K2" s="47"/>
    </row>
    <row r="3" spans="1:14" ht="17">
      <c r="A3" s="5"/>
      <c r="B3" s="5"/>
      <c r="C3" s="50" t="s">
        <v>5</v>
      </c>
      <c r="D3" s="9"/>
      <c r="E3" s="51" t="s">
        <v>2</v>
      </c>
      <c r="F3" s="51"/>
      <c r="G3" s="51"/>
      <c r="H3" s="6"/>
      <c r="I3" s="51" t="s">
        <v>0</v>
      </c>
      <c r="J3" s="51"/>
      <c r="K3" s="51"/>
      <c r="L3" s="5"/>
      <c r="M3" s="5"/>
    </row>
    <row r="4" spans="1:14">
      <c r="A4">
        <v>2010</v>
      </c>
      <c r="B4" s="5"/>
      <c r="C4" s="49">
        <v>5.7117767435298843</v>
      </c>
      <c r="D4" s="49"/>
      <c r="E4" s="53"/>
      <c r="F4" s="53"/>
      <c r="G4" s="53"/>
      <c r="H4" s="11"/>
      <c r="I4" s="56"/>
      <c r="J4" s="56"/>
      <c r="K4" s="56"/>
      <c r="L4" s="5"/>
      <c r="M4" s="5"/>
    </row>
    <row r="5" spans="1:14">
      <c r="A5">
        <v>2011</v>
      </c>
      <c r="B5" s="5"/>
      <c r="C5" s="49">
        <v>6.9431483468179644</v>
      </c>
      <c r="D5" s="49"/>
      <c r="E5" s="53"/>
      <c r="F5" s="53"/>
      <c r="G5" s="53"/>
      <c r="H5" s="11"/>
      <c r="I5" s="56"/>
      <c r="J5" s="56"/>
      <c r="K5" s="56"/>
      <c r="L5" s="5"/>
      <c r="M5" s="5"/>
    </row>
    <row r="6" spans="1:14">
      <c r="A6">
        <v>2012</v>
      </c>
      <c r="B6" s="5"/>
      <c r="C6" s="49">
        <f>(C7+C5)/2</f>
        <v>7.186476608331871</v>
      </c>
      <c r="D6" s="49"/>
      <c r="E6" s="53"/>
      <c r="F6" s="53"/>
      <c r="G6" s="53"/>
      <c r="H6" s="11"/>
      <c r="I6" s="56"/>
      <c r="J6" s="56"/>
      <c r="K6" s="56"/>
      <c r="L6" s="5"/>
      <c r="M6" s="5"/>
    </row>
    <row r="7" spans="1:14">
      <c r="A7">
        <v>2013</v>
      </c>
      <c r="B7" s="5"/>
      <c r="C7" s="49">
        <v>7.4298048698457775</v>
      </c>
      <c r="D7" s="49"/>
      <c r="E7" s="53"/>
      <c r="F7" s="53"/>
      <c r="G7" s="53"/>
      <c r="H7" s="11"/>
      <c r="I7" s="56"/>
      <c r="J7" s="56"/>
      <c r="K7" s="56"/>
      <c r="L7" s="5"/>
      <c r="M7" s="5"/>
    </row>
    <row r="8" spans="1:14">
      <c r="A8">
        <v>2014</v>
      </c>
      <c r="B8" s="5"/>
      <c r="C8" s="49">
        <v>6.7840165576571456</v>
      </c>
      <c r="D8" s="49"/>
      <c r="E8" s="53"/>
      <c r="F8" s="53"/>
      <c r="G8" s="53"/>
      <c r="H8" s="11"/>
      <c r="I8" s="56">
        <f>J8</f>
        <v>8.3248056282224479</v>
      </c>
      <c r="J8" s="57">
        <f t="shared" ref="J8:J12" si="0">J9/1.0174</f>
        <v>8.3248056282224479</v>
      </c>
      <c r="K8" s="56"/>
      <c r="L8" s="5"/>
      <c r="M8" s="5"/>
    </row>
    <row r="9" spans="1:14">
      <c r="A9">
        <v>2015</v>
      </c>
      <c r="B9" s="5"/>
      <c r="C9" s="49">
        <v>6.8469384992530555</v>
      </c>
      <c r="D9" s="49"/>
      <c r="E9" s="53"/>
      <c r="F9" s="53"/>
      <c r="G9" s="53"/>
      <c r="H9" s="11"/>
      <c r="I9" s="56"/>
      <c r="J9" s="57">
        <f t="shared" si="0"/>
        <v>8.4696572461535187</v>
      </c>
      <c r="K9" s="56"/>
      <c r="L9" s="5"/>
      <c r="M9" s="5"/>
    </row>
    <row r="10" spans="1:14">
      <c r="A10">
        <v>2016</v>
      </c>
      <c r="B10" s="5"/>
      <c r="C10" s="49">
        <v>6.7626196226719255</v>
      </c>
      <c r="D10" s="49"/>
      <c r="E10" s="53"/>
      <c r="F10" s="53"/>
      <c r="G10" s="53"/>
      <c r="H10" s="11"/>
      <c r="I10" s="56"/>
      <c r="J10" s="57">
        <f t="shared" si="0"/>
        <v>8.6170292822365901</v>
      </c>
      <c r="K10" s="56"/>
      <c r="L10" s="5"/>
      <c r="M10" s="5"/>
    </row>
    <row r="11" spans="1:14">
      <c r="A11">
        <v>2017</v>
      </c>
      <c r="B11" s="5"/>
      <c r="C11" s="49">
        <v>6.9754938794471553</v>
      </c>
      <c r="D11" s="49"/>
      <c r="E11" s="53"/>
      <c r="F11" s="53"/>
      <c r="G11" s="53"/>
      <c r="H11" s="11"/>
      <c r="I11" s="56"/>
      <c r="J11" s="57">
        <f t="shared" si="0"/>
        <v>8.7669655917475069</v>
      </c>
      <c r="K11" s="56"/>
      <c r="L11" s="5"/>
      <c r="M11" s="5"/>
    </row>
    <row r="12" spans="1:14">
      <c r="A12">
        <v>2018</v>
      </c>
      <c r="B12" s="5"/>
      <c r="C12" s="49">
        <v>7.0889149427960625</v>
      </c>
      <c r="D12" s="49"/>
      <c r="E12" s="53"/>
      <c r="F12" s="53"/>
      <c r="G12" s="53"/>
      <c r="H12" s="11"/>
      <c r="I12" s="56"/>
      <c r="J12" s="57">
        <f t="shared" si="0"/>
        <v>8.9195107930439139</v>
      </c>
      <c r="K12" s="56"/>
      <c r="L12" s="5"/>
      <c r="M12" s="5"/>
    </row>
    <row r="13" spans="1:14">
      <c r="A13">
        <v>2019</v>
      </c>
      <c r="B13" s="5"/>
      <c r="C13" s="49">
        <v>7.0253734770544272</v>
      </c>
      <c r="D13" s="49"/>
      <c r="E13" s="53"/>
      <c r="F13" s="53"/>
      <c r="G13" s="53"/>
      <c r="H13" s="11"/>
      <c r="I13" s="56"/>
      <c r="J13" s="57">
        <f>J14/1.0174</f>
        <v>9.0747102808428792</v>
      </c>
      <c r="K13" s="56"/>
      <c r="L13" s="5"/>
      <c r="M13" s="5"/>
    </row>
    <row r="14" spans="1:14">
      <c r="A14">
        <v>2020</v>
      </c>
      <c r="C14" s="49">
        <v>6.7968326861105357</v>
      </c>
      <c r="D14" s="49"/>
      <c r="E14" s="54">
        <v>7.1590376415989256</v>
      </c>
      <c r="F14" s="55">
        <f>E14</f>
        <v>7.1590376415989256</v>
      </c>
      <c r="G14" s="55"/>
      <c r="H14" s="10"/>
      <c r="I14" s="57"/>
      <c r="J14" s="57">
        <f t="shared" ref="J14:J16" si="1">J15/1.02</f>
        <v>9.2326102397295458</v>
      </c>
      <c r="K14" s="57"/>
      <c r="M14" s="3"/>
      <c r="N14" s="18"/>
    </row>
    <row r="15" spans="1:14">
      <c r="A15">
        <v>2021</v>
      </c>
      <c r="C15" s="10"/>
      <c r="D15" s="10"/>
      <c r="E15" s="55"/>
      <c r="F15" s="55">
        <f>F14*1.02</f>
        <v>7.3022183944309047</v>
      </c>
      <c r="G15" s="55"/>
      <c r="H15" s="10"/>
      <c r="I15" s="57"/>
      <c r="J15" s="57">
        <f t="shared" si="1"/>
        <v>9.4172624445241375</v>
      </c>
      <c r="K15" s="57"/>
      <c r="M15" s="3"/>
    </row>
    <row r="16" spans="1:14">
      <c r="A16">
        <v>2022</v>
      </c>
      <c r="C16" s="10"/>
      <c r="D16" s="10"/>
      <c r="E16" s="55"/>
      <c r="F16" s="55">
        <f t="shared" ref="F16:F19" si="2">F15*1.02</f>
        <v>7.4482627623195228</v>
      </c>
      <c r="G16" s="55"/>
      <c r="H16" s="10"/>
      <c r="I16" s="57"/>
      <c r="J16" s="57">
        <f t="shared" si="1"/>
        <v>9.6056076934146208</v>
      </c>
      <c r="K16" s="57"/>
      <c r="M16" s="3"/>
    </row>
    <row r="17" spans="1:13">
      <c r="A17">
        <v>2023</v>
      </c>
      <c r="C17" s="10"/>
      <c r="D17" s="10"/>
      <c r="E17" s="55"/>
      <c r="F17" s="55">
        <f t="shared" si="2"/>
        <v>7.5972280175659135</v>
      </c>
      <c r="G17" s="55"/>
      <c r="H17" s="10"/>
      <c r="I17" s="57"/>
      <c r="J17" s="57">
        <f>J18/1.02</f>
        <v>9.797719847282913</v>
      </c>
      <c r="K17" s="57"/>
      <c r="M17" s="3"/>
    </row>
    <row r="18" spans="1:13">
      <c r="A18">
        <v>2024</v>
      </c>
      <c r="C18" s="10"/>
      <c r="D18" s="10"/>
      <c r="E18" s="55"/>
      <c r="F18" s="55">
        <f t="shared" si="2"/>
        <v>7.749172577917232</v>
      </c>
      <c r="G18" s="55"/>
      <c r="H18" s="10"/>
      <c r="I18" s="57"/>
      <c r="J18" s="58">
        <f>CEERT!B16/CEERT!K37</f>
        <v>9.993674244228572</v>
      </c>
      <c r="K18" s="57"/>
      <c r="M18" s="3"/>
    </row>
    <row r="19" spans="1:13">
      <c r="A19">
        <v>2025</v>
      </c>
      <c r="C19" s="10"/>
      <c r="D19" s="10"/>
      <c r="F19" s="55">
        <f t="shared" si="2"/>
        <v>7.904156029475577</v>
      </c>
      <c r="G19" s="55">
        <f>F19</f>
        <v>7.904156029475577</v>
      </c>
      <c r="H19" s="10"/>
      <c r="J19" s="57">
        <f>J18*1.02</f>
        <v>10.193547729113144</v>
      </c>
      <c r="K19" s="57">
        <f>J19</f>
        <v>10.193547729113144</v>
      </c>
      <c r="M19" s="3"/>
    </row>
    <row r="20" spans="1:13">
      <c r="A20">
        <v>2026</v>
      </c>
      <c r="C20" s="10"/>
      <c r="D20" s="10"/>
      <c r="G20" s="55">
        <f t="shared" ref="G20:G38" si="3">G19*1.02</f>
        <v>8.0622391500650892</v>
      </c>
      <c r="H20" s="10"/>
      <c r="J20" s="57"/>
      <c r="K20" s="57">
        <f t="shared" ref="K20:K38" si="4">K19*1.02</f>
        <v>10.397418683695406</v>
      </c>
      <c r="M20" s="3"/>
    </row>
    <row r="21" spans="1:13">
      <c r="A21">
        <v>2027</v>
      </c>
      <c r="C21" s="10"/>
      <c r="D21" s="10"/>
      <c r="G21" s="55">
        <f t="shared" si="3"/>
        <v>8.2234839330663903</v>
      </c>
      <c r="H21" s="10"/>
      <c r="J21" s="57"/>
      <c r="K21" s="57">
        <f t="shared" si="4"/>
        <v>10.605367057369314</v>
      </c>
      <c r="M21" s="3"/>
    </row>
    <row r="22" spans="1:13">
      <c r="A22">
        <v>2028</v>
      </c>
      <c r="C22" s="10"/>
      <c r="D22" s="10"/>
      <c r="G22" s="55">
        <f t="shared" si="3"/>
        <v>8.3879536117277187</v>
      </c>
      <c r="H22" s="10"/>
      <c r="J22" s="57"/>
      <c r="K22" s="57">
        <f t="shared" si="4"/>
        <v>10.817474398516701</v>
      </c>
      <c r="M22" s="3"/>
    </row>
    <row r="23" spans="1:13">
      <c r="A23">
        <v>2029</v>
      </c>
      <c r="C23" s="10"/>
      <c r="D23" s="10"/>
      <c r="G23" s="55">
        <f t="shared" si="3"/>
        <v>8.5557126839622732</v>
      </c>
      <c r="H23" s="10"/>
      <c r="J23" s="57"/>
      <c r="K23" s="57">
        <f t="shared" si="4"/>
        <v>11.033823886487035</v>
      </c>
      <c r="M23" s="3"/>
    </row>
    <row r="24" spans="1:13">
      <c r="A24">
        <v>2030</v>
      </c>
      <c r="C24" s="10"/>
      <c r="D24" s="10"/>
      <c r="G24" s="55">
        <f t="shared" si="3"/>
        <v>8.7268269376415191</v>
      </c>
      <c r="H24" s="10"/>
      <c r="J24" s="57"/>
      <c r="K24" s="57">
        <f t="shared" si="4"/>
        <v>11.254500364216776</v>
      </c>
      <c r="M24" s="3"/>
    </row>
    <row r="25" spans="1:13">
      <c r="A25">
        <v>2031</v>
      </c>
      <c r="C25" s="10"/>
      <c r="D25" s="10"/>
      <c r="G25" s="55">
        <f t="shared" si="3"/>
        <v>8.9013634763943497</v>
      </c>
      <c r="H25" s="10"/>
      <c r="J25" s="57"/>
      <c r="K25" s="57">
        <f t="shared" si="4"/>
        <v>11.479590371501113</v>
      </c>
      <c r="M25" s="3"/>
    </row>
    <row r="26" spans="1:13">
      <c r="A26">
        <v>2032</v>
      </c>
      <c r="C26" s="10"/>
      <c r="D26" s="10"/>
      <c r="G26" s="55">
        <f t="shared" si="3"/>
        <v>9.0793907459222361</v>
      </c>
      <c r="H26" s="10"/>
      <c r="J26" s="57"/>
      <c r="K26" s="57">
        <f t="shared" si="4"/>
        <v>11.709182178931135</v>
      </c>
      <c r="M26" s="3"/>
    </row>
    <row r="27" spans="1:13">
      <c r="A27">
        <v>2033</v>
      </c>
      <c r="C27" s="10"/>
      <c r="D27" s="10"/>
      <c r="G27" s="55">
        <f t="shared" si="3"/>
        <v>9.2609785608406803</v>
      </c>
      <c r="H27" s="10"/>
      <c r="J27" s="57"/>
      <c r="K27" s="57">
        <f t="shared" si="4"/>
        <v>11.943365822509758</v>
      </c>
      <c r="M27" s="3"/>
    </row>
    <row r="28" spans="1:13">
      <c r="A28">
        <v>2034</v>
      </c>
      <c r="C28" s="10"/>
      <c r="D28" s="10"/>
      <c r="G28" s="55">
        <f t="shared" si="3"/>
        <v>9.4461981320574946</v>
      </c>
      <c r="H28" s="10"/>
      <c r="J28" s="57"/>
      <c r="K28" s="57">
        <f t="shared" si="4"/>
        <v>12.182233138959953</v>
      </c>
      <c r="M28" s="3"/>
    </row>
    <row r="29" spans="1:13">
      <c r="A29">
        <v>2035</v>
      </c>
      <c r="C29" s="10"/>
      <c r="D29" s="10"/>
      <c r="G29" s="55">
        <f t="shared" si="3"/>
        <v>9.6351220946986444</v>
      </c>
      <c r="H29" s="10"/>
      <c r="J29" s="57"/>
      <c r="K29" s="57">
        <f t="shared" si="4"/>
        <v>12.425877801739153</v>
      </c>
      <c r="M29" s="3"/>
    </row>
    <row r="30" spans="1:13">
      <c r="A30">
        <v>2036</v>
      </c>
      <c r="C30" s="10"/>
      <c r="D30" s="10"/>
      <c r="G30" s="55">
        <f t="shared" si="3"/>
        <v>9.8278245365926171</v>
      </c>
      <c r="H30" s="10"/>
      <c r="J30" s="57"/>
      <c r="K30" s="57">
        <f t="shared" si="4"/>
        <v>12.674395357773937</v>
      </c>
      <c r="M30" s="3"/>
    </row>
    <row r="31" spans="1:13">
      <c r="A31">
        <v>2037</v>
      </c>
      <c r="C31" s="10"/>
      <c r="D31" s="10"/>
      <c r="G31" s="55">
        <f t="shared" si="3"/>
        <v>10.02438102732447</v>
      </c>
      <c r="H31" s="10"/>
      <c r="J31" s="57"/>
      <c r="K31" s="57">
        <f t="shared" si="4"/>
        <v>12.927883264929417</v>
      </c>
      <c r="M31" s="3"/>
    </row>
    <row r="32" spans="1:13">
      <c r="A32">
        <v>2038</v>
      </c>
      <c r="C32" s="10"/>
      <c r="D32" s="10"/>
      <c r="G32" s="55">
        <f t="shared" si="3"/>
        <v>10.224868647870959</v>
      </c>
      <c r="H32" s="10"/>
      <c r="J32" s="57"/>
      <c r="K32" s="57">
        <f t="shared" si="4"/>
        <v>13.186440930228006</v>
      </c>
      <c r="M32" s="3"/>
    </row>
    <row r="33" spans="1:13">
      <c r="A33">
        <v>2039</v>
      </c>
      <c r="C33" s="10"/>
      <c r="D33" s="10"/>
      <c r="G33" s="55">
        <f t="shared" si="3"/>
        <v>10.429366020828379</v>
      </c>
      <c r="H33" s="10"/>
      <c r="J33" s="57"/>
      <c r="K33" s="57">
        <f t="shared" si="4"/>
        <v>13.450169748832566</v>
      </c>
      <c r="M33" s="3"/>
    </row>
    <row r="34" spans="1:13">
      <c r="A34">
        <v>2040</v>
      </c>
      <c r="C34" s="10"/>
      <c r="D34" s="10"/>
      <c r="G34" s="55">
        <f t="shared" si="3"/>
        <v>10.637953341244947</v>
      </c>
      <c r="H34" s="10"/>
      <c r="J34" s="57"/>
      <c r="K34" s="57">
        <f t="shared" si="4"/>
        <v>13.719173143809218</v>
      </c>
      <c r="M34" s="3"/>
    </row>
    <row r="35" spans="1:13">
      <c r="A35">
        <v>2041</v>
      </c>
      <c r="C35" s="10"/>
      <c r="D35" s="10"/>
      <c r="G35" s="55">
        <f t="shared" si="3"/>
        <v>10.850712408069846</v>
      </c>
      <c r="H35" s="10"/>
      <c r="J35" s="57"/>
      <c r="K35" s="57">
        <f t="shared" si="4"/>
        <v>13.993556606685402</v>
      </c>
      <c r="M35" s="3"/>
    </row>
    <row r="36" spans="1:13">
      <c r="A36">
        <v>2042</v>
      </c>
      <c r="C36" s="10"/>
      <c r="D36" s="10"/>
      <c r="G36" s="55">
        <f t="shared" si="3"/>
        <v>11.067726656231244</v>
      </c>
      <c r="H36" s="10"/>
      <c r="J36" s="57"/>
      <c r="K36" s="57">
        <f t="shared" si="4"/>
        <v>14.273427738819111</v>
      </c>
      <c r="M36" s="3"/>
    </row>
    <row r="37" spans="1:13">
      <c r="A37">
        <v>2043</v>
      </c>
      <c r="C37" s="10"/>
      <c r="D37" s="10"/>
      <c r="G37" s="55">
        <f t="shared" si="3"/>
        <v>11.289081189355869</v>
      </c>
      <c r="H37" s="10"/>
      <c r="J37" s="57"/>
      <c r="K37" s="57">
        <f t="shared" si="4"/>
        <v>14.558896293595494</v>
      </c>
      <c r="M37" s="3"/>
    </row>
    <row r="38" spans="1:13">
      <c r="A38">
        <v>2044</v>
      </c>
      <c r="C38" s="10"/>
      <c r="D38" s="10"/>
      <c r="G38" s="55">
        <f t="shared" si="3"/>
        <v>11.514862813142987</v>
      </c>
      <c r="H38" s="10"/>
      <c r="J38" s="57"/>
      <c r="K38" s="57">
        <f t="shared" si="4"/>
        <v>14.850074219467404</v>
      </c>
      <c r="M38" s="3"/>
    </row>
    <row r="39" spans="1:13" ht="17" thickBot="1">
      <c r="A39" s="42">
        <v>2045</v>
      </c>
      <c r="B39" s="42"/>
      <c r="C39" s="59"/>
      <c r="D39" s="59"/>
      <c r="E39" s="60"/>
      <c r="F39" s="60"/>
      <c r="G39" s="60"/>
      <c r="H39" s="59"/>
      <c r="I39" s="61"/>
      <c r="J39" s="61"/>
      <c r="K39" s="61"/>
      <c r="M39" s="3"/>
    </row>
    <row r="40" spans="1:13">
      <c r="M40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AA987-792D-7E4E-9873-B3F8419C0BEF}">
  <dimension ref="A3:L39"/>
  <sheetViews>
    <sheetView workbookViewId="0">
      <selection activeCell="B12" sqref="B12"/>
    </sheetView>
  </sheetViews>
  <sheetFormatPr baseColWidth="10" defaultRowHeight="16"/>
  <cols>
    <col min="1" max="1" width="35" customWidth="1"/>
    <col min="4" max="4" width="20.1640625" bestFit="1" customWidth="1"/>
    <col min="5" max="5" width="2.83203125" customWidth="1"/>
    <col min="7" max="7" width="2.83203125" customWidth="1"/>
    <col min="9" max="9" width="2.83203125" customWidth="1"/>
    <col min="11" max="11" width="2.83203125" customWidth="1"/>
  </cols>
  <sheetData>
    <row r="3" spans="1:12" ht="17" thickBot="1">
      <c r="A3" s="42" t="s">
        <v>95</v>
      </c>
      <c r="B3" s="42"/>
      <c r="D3" s="42" t="s">
        <v>105</v>
      </c>
      <c r="E3" s="42"/>
      <c r="F3" s="42"/>
      <c r="G3" s="42"/>
      <c r="H3" s="42"/>
      <c r="I3" s="42"/>
      <c r="J3" s="42"/>
      <c r="K3" s="42"/>
      <c r="L3" s="42"/>
    </row>
    <row r="4" spans="1:12" ht="17">
      <c r="D4" s="5"/>
      <c r="E4" s="4"/>
      <c r="F4" s="6" t="s">
        <v>42</v>
      </c>
      <c r="G4" s="5"/>
      <c r="H4" s="6" t="s">
        <v>13</v>
      </c>
      <c r="I4" s="5"/>
      <c r="J4" s="6" t="s">
        <v>58</v>
      </c>
      <c r="K4" s="5"/>
    </row>
    <row r="5" spans="1:12" ht="17">
      <c r="A5" t="s">
        <v>96</v>
      </c>
      <c r="D5" s="5"/>
      <c r="E5" s="4"/>
      <c r="F5" s="37" t="s">
        <v>56</v>
      </c>
      <c r="G5" s="4"/>
      <c r="H5" s="37" t="s">
        <v>56</v>
      </c>
      <c r="I5" s="4"/>
      <c r="J5" s="37" t="s">
        <v>56</v>
      </c>
      <c r="K5" s="4"/>
      <c r="L5" s="23" t="s">
        <v>19</v>
      </c>
    </row>
    <row r="6" spans="1:12">
      <c r="A6" s="67" t="s">
        <v>97</v>
      </c>
      <c r="B6" s="68">
        <v>5.7</v>
      </c>
      <c r="D6">
        <v>2020</v>
      </c>
    </row>
    <row r="7" spans="1:12">
      <c r="A7" s="67" t="s">
        <v>98</v>
      </c>
      <c r="B7" s="68">
        <v>1.5</v>
      </c>
      <c r="D7">
        <v>2021</v>
      </c>
    </row>
    <row r="8" spans="1:12">
      <c r="B8" s="16"/>
      <c r="D8">
        <v>2022</v>
      </c>
    </row>
    <row r="9" spans="1:12">
      <c r="A9" t="s">
        <v>99</v>
      </c>
      <c r="B9" s="68">
        <f>587.6*8%</f>
        <v>47.008000000000003</v>
      </c>
      <c r="D9">
        <v>2023</v>
      </c>
    </row>
    <row r="10" spans="1:12">
      <c r="B10" s="12"/>
      <c r="D10">
        <v>2024</v>
      </c>
    </row>
    <row r="11" spans="1:12">
      <c r="A11" t="s">
        <v>100</v>
      </c>
      <c r="D11">
        <v>2025</v>
      </c>
      <c r="F11" s="8">
        <f>(B6+B7)*(1.0174^(2020-2017))*(1.02^(2025-2020))*1000</f>
        <v>8371.6016541346071</v>
      </c>
      <c r="H11" s="8">
        <f>B9*(1.0174^(2020-2017))*(1.02^(2025-2020))*1000</f>
        <v>54657.257021883299</v>
      </c>
      <c r="J11" s="8">
        <f>B14*(1.0174^(2020-2017))*(1.02^(2025-2020))*1000</f>
        <v>68652.947176163609</v>
      </c>
      <c r="L11" s="3">
        <f>'Stanford MIT'!O11+F11+H11+J11</f>
        <v>919235.05885073077</v>
      </c>
    </row>
    <row r="12" spans="1:12">
      <c r="A12" s="67" t="s">
        <v>101</v>
      </c>
      <c r="B12" s="68">
        <v>102.761</v>
      </c>
      <c r="D12">
        <v>2026</v>
      </c>
      <c r="F12" s="8">
        <f>F11*(1+'Stanford MIT'!$B$8)</f>
        <v>8539.0336872172993</v>
      </c>
      <c r="H12" s="8">
        <f>H11*(1+'Stanford MIT'!$B$8)</f>
        <v>55750.402162320963</v>
      </c>
      <c r="J12" s="8">
        <f>J11*(1+'Stanford MIT'!$B$8)</f>
        <v>70026.006119686877</v>
      </c>
      <c r="L12" s="3">
        <f>'Stanford MIT'!O12+F12+H12+J12</f>
        <v>937619.76002774539</v>
      </c>
    </row>
    <row r="13" spans="1:12">
      <c r="A13" s="67" t="s">
        <v>103</v>
      </c>
      <c r="B13" s="68">
        <v>43.716000000000001</v>
      </c>
      <c r="D13">
        <v>2027</v>
      </c>
      <c r="F13" s="8">
        <f>F12*(1+'Stanford MIT'!$B$8)</f>
        <v>8709.8143609616454</v>
      </c>
      <c r="H13" s="8">
        <f>H12*(1+'Stanford MIT'!$B$8)</f>
        <v>56865.410205567387</v>
      </c>
      <c r="J13" s="8">
        <f>J12*(1+'Stanford MIT'!$B$8)</f>
        <v>71426.52624208061</v>
      </c>
      <c r="L13" s="3">
        <f>'Stanford MIT'!O13+F13+H13+J13</f>
        <v>956372.15522830037</v>
      </c>
    </row>
    <row r="14" spans="1:12">
      <c r="A14" s="67" t="s">
        <v>102</v>
      </c>
      <c r="B14" s="68">
        <f>B12-B13</f>
        <v>59.044999999999995</v>
      </c>
      <c r="D14">
        <v>2028</v>
      </c>
      <c r="F14" s="8">
        <f>F13*(1+'Stanford MIT'!$B$8)</f>
        <v>8884.010648180878</v>
      </c>
      <c r="H14" s="8">
        <f>H13*(1+'Stanford MIT'!$B$8)</f>
        <v>58002.718409678739</v>
      </c>
      <c r="J14" s="8">
        <f>J13*(1+'Stanford MIT'!$B$8)</f>
        <v>72855.056766922222</v>
      </c>
      <c r="L14" s="3">
        <f>'Stanford MIT'!O14+F14+H14+J14</f>
        <v>975499.59833286656</v>
      </c>
    </row>
    <row r="15" spans="1:12" ht="17" thickBot="1">
      <c r="A15" s="45"/>
      <c r="B15" s="46"/>
      <c r="C15" s="66"/>
      <c r="D15">
        <v>2029</v>
      </c>
      <c r="F15" s="8">
        <f>F14*(1+'Stanford MIT'!$B$8)</f>
        <v>9061.690861144496</v>
      </c>
      <c r="H15" s="8">
        <f>H14*(1+'Stanford MIT'!$B$8)</f>
        <v>59162.772777872313</v>
      </c>
      <c r="J15" s="8">
        <f>J14*(1+'Stanford MIT'!$B$8)</f>
        <v>74312.157902260675</v>
      </c>
      <c r="L15" s="3">
        <f>'Stanford MIT'!O15+F15+H15+J15</f>
        <v>995009.59029952378</v>
      </c>
    </row>
    <row r="16" spans="1:12">
      <c r="A16" s="20"/>
      <c r="C16" s="66"/>
      <c r="D16">
        <v>2030</v>
      </c>
      <c r="F16" s="8">
        <f>F15*(1+'Stanford MIT'!$B$8)</f>
        <v>9242.9246783673862</v>
      </c>
      <c r="H16" s="8">
        <f>H15*(1+'Stanford MIT'!$B$8)</f>
        <v>60346.028233429759</v>
      </c>
      <c r="J16" s="8">
        <f>J15*(1+'Stanford MIT'!$B$8)</f>
        <v>75798.401060305885</v>
      </c>
      <c r="L16" s="3">
        <f>'Stanford MIT'!O16+F16+H16+J16</f>
        <v>1014909.7821055143</v>
      </c>
    </row>
    <row r="17" spans="1:12">
      <c r="D17">
        <v>2031</v>
      </c>
      <c r="F17" s="8">
        <f>F16*(1+'Stanford MIT'!$B$8)</f>
        <v>9427.7831719347341</v>
      </c>
      <c r="H17" s="8">
        <f>H16*(1+'Stanford MIT'!$B$8)</f>
        <v>61552.948798098354</v>
      </c>
      <c r="J17" s="8">
        <f>J16*(1+'Stanford MIT'!$B$8)</f>
        <v>77314.369081512006</v>
      </c>
      <c r="L17" s="3">
        <f>'Stanford MIT'!O17+F17+H17+J17</f>
        <v>1035207.9777476246</v>
      </c>
    </row>
    <row r="18" spans="1:12">
      <c r="A18" s="20"/>
      <c r="D18">
        <v>2032</v>
      </c>
      <c r="F18" s="8">
        <f>F17*(1+'Stanford MIT'!$B$8)</f>
        <v>9616.3388353734281</v>
      </c>
      <c r="H18" s="8">
        <f>H17*(1+'Stanford MIT'!$B$8)</f>
        <v>62784.007774060323</v>
      </c>
      <c r="J18" s="8">
        <f>J17*(1+'Stanford MIT'!$B$8)</f>
        <v>78860.656463142252</v>
      </c>
      <c r="L18" s="3">
        <f>'Stanford MIT'!O18+F18+H18+J18</f>
        <v>1055912.137302577</v>
      </c>
    </row>
    <row r="19" spans="1:12">
      <c r="A19" s="20"/>
      <c r="D19">
        <v>2033</v>
      </c>
      <c r="F19" s="8">
        <f>F18*(1+'Stanford MIT'!$B$8)</f>
        <v>9808.6656120808966</v>
      </c>
      <c r="H19" s="8">
        <f>H18*(1+'Stanford MIT'!$B$8)</f>
        <v>64039.687929541527</v>
      </c>
      <c r="J19" s="8">
        <f>J18*(1+'Stanford MIT'!$B$8)</f>
        <v>80437.869592405099</v>
      </c>
      <c r="L19" s="3">
        <f>'Stanford MIT'!O19+F19+H19+J19</f>
        <v>1077030.3800486287</v>
      </c>
    </row>
    <row r="20" spans="1:12">
      <c r="D20">
        <v>2034</v>
      </c>
      <c r="F20" s="8">
        <f>F19*(1+'Stanford MIT'!$B$8)</f>
        <v>10004.838924322516</v>
      </c>
      <c r="H20" s="8">
        <f>H19*(1+'Stanford MIT'!$B$8)</f>
        <v>65320.481688132357</v>
      </c>
      <c r="J20" s="8">
        <f>J19*(1+'Stanford MIT'!$B$8)</f>
        <v>82046.626984253206</v>
      </c>
      <c r="L20" s="3">
        <f>'Stanford MIT'!O20+F20+H20+J20</f>
        <v>1098570.9876496014</v>
      </c>
    </row>
    <row r="21" spans="1:12">
      <c r="B21" s="24"/>
      <c r="D21">
        <v>2035</v>
      </c>
      <c r="F21" s="8">
        <f>F20*(1+'Stanford MIT'!$B$8)</f>
        <v>10204.935702808965</v>
      </c>
      <c r="H21" s="8">
        <f>H20*(1+'Stanford MIT'!$B$8)</f>
        <v>66626.891321895004</v>
      </c>
      <c r="J21" s="8">
        <f>J20*(1+'Stanford MIT'!$B$8)</f>
        <v>83687.559523938267</v>
      </c>
      <c r="L21" s="3">
        <f>'Stanford MIT'!O21+F21+H21+J21</f>
        <v>1120542.4074025934</v>
      </c>
    </row>
    <row r="22" spans="1:12">
      <c r="A22" s="20"/>
      <c r="D22">
        <v>2036</v>
      </c>
      <c r="F22" s="8">
        <f>F21*(1+'Stanford MIT'!$B$8)</f>
        <v>10409.034416865145</v>
      </c>
      <c r="H22" s="8">
        <f>H21*(1+'Stanford MIT'!$B$8)</f>
        <v>67959.4291483329</v>
      </c>
      <c r="J22" s="8">
        <f>J21*(1+'Stanford MIT'!$B$8)</f>
        <v>85361.310714417035</v>
      </c>
      <c r="L22" s="3">
        <f>'Stanford MIT'!O22+F22+H22+J22</f>
        <v>1142953.2555506453</v>
      </c>
    </row>
    <row r="23" spans="1:12">
      <c r="A23" s="20"/>
      <c r="D23">
        <v>2037</v>
      </c>
      <c r="F23" s="8">
        <f>F22*(1+'Stanford MIT'!$B$8)</f>
        <v>10617.215105202447</v>
      </c>
      <c r="H23" s="8">
        <f>H22*(1+'Stanford MIT'!$B$8)</f>
        <v>69318.617731299557</v>
      </c>
      <c r="J23" s="8">
        <f>J22*(1+'Stanford MIT'!$B$8)</f>
        <v>87068.536928705376</v>
      </c>
      <c r="L23" s="3">
        <f>'Stanford MIT'!O23+F23+H23+J23</f>
        <v>1165812.3206616582</v>
      </c>
    </row>
    <row r="24" spans="1:12">
      <c r="D24">
        <v>2038</v>
      </c>
      <c r="F24" s="8">
        <f>F23*(1+'Stanford MIT'!$B$8)</f>
        <v>10829.559407306497</v>
      </c>
      <c r="H24" s="8">
        <f>H23*(1+'Stanford MIT'!$B$8)</f>
        <v>70704.990085925543</v>
      </c>
      <c r="J24" s="8">
        <f>J23*(1+'Stanford MIT'!$B$8)</f>
        <v>88809.907667279491</v>
      </c>
      <c r="L24" s="3">
        <f>'Stanford MIT'!O24+F24+H24+J24</f>
        <v>1189128.5670748912</v>
      </c>
    </row>
    <row r="25" spans="1:12">
      <c r="D25">
        <v>2039</v>
      </c>
      <c r="F25" s="8">
        <f>F24*(1+'Stanford MIT'!$B$8)</f>
        <v>11046.150595452627</v>
      </c>
      <c r="H25" s="8">
        <f>H24*(1+'Stanford MIT'!$B$8)</f>
        <v>72119.089887644062</v>
      </c>
      <c r="J25" s="8">
        <f>J24*(1+'Stanford MIT'!$B$8)</f>
        <v>90586.105820625089</v>
      </c>
      <c r="L25" s="3">
        <f>'Stanford MIT'!O25+F25+H25+J25</f>
        <v>1212911.1384163892</v>
      </c>
    </row>
    <row r="26" spans="1:12">
      <c r="A26" s="20"/>
      <c r="D26">
        <v>2040</v>
      </c>
      <c r="F26" s="8">
        <f>F25*(1+'Stanford MIT'!$B$8)</f>
        <v>11267.073607361681</v>
      </c>
      <c r="H26" s="8">
        <f>H25*(1+'Stanford MIT'!$B$8)</f>
        <v>73561.471685396944</v>
      </c>
      <c r="J26" s="8">
        <f>J25*(1+'Stanford MIT'!$B$8)</f>
        <v>92397.827937037597</v>
      </c>
      <c r="L26" s="3">
        <f>'Stanford MIT'!O26+F26+H26+J26</f>
        <v>1237169.3611847172</v>
      </c>
    </row>
    <row r="27" spans="1:12">
      <c r="D27">
        <v>2041</v>
      </c>
      <c r="F27" s="8">
        <f>F26*(1+'Stanford MIT'!$B$8)</f>
        <v>11492.415079508915</v>
      </c>
      <c r="H27" s="8">
        <f>H26*(1+'Stanford MIT'!$B$8)</f>
        <v>75032.70111910488</v>
      </c>
      <c r="J27" s="8">
        <f>J26*(1+'Stanford MIT'!$B$8)</f>
        <v>94245.784495778353</v>
      </c>
      <c r="L27" s="3">
        <f>'Stanford MIT'!O27+F27+H27+J27</f>
        <v>1261912.7484084114</v>
      </c>
    </row>
    <row r="28" spans="1:12">
      <c r="D28">
        <v>2042</v>
      </c>
      <c r="F28" s="8">
        <f>F27*(1+'Stanford MIT'!$B$8)</f>
        <v>11722.263381099094</v>
      </c>
      <c r="H28" s="8">
        <f>H27*(1+'Stanford MIT'!$B$8)</f>
        <v>76533.355141486973</v>
      </c>
      <c r="J28" s="8">
        <f>J27*(1+'Stanford MIT'!$B$8)</f>
        <v>96130.700185693917</v>
      </c>
      <c r="L28" s="3">
        <f>'Stanford MIT'!O28+F28+H28+J28</f>
        <v>1287151.0033765798</v>
      </c>
    </row>
    <row r="29" spans="1:12">
      <c r="D29">
        <v>2043</v>
      </c>
      <c r="F29" s="8">
        <f>F28*(1+'Stanford MIT'!$B$8)</f>
        <v>11956.708648721076</v>
      </c>
      <c r="H29" s="8">
        <f>H28*(1+'Stanford MIT'!$B$8)</f>
        <v>78064.022244316715</v>
      </c>
      <c r="J29" s="8">
        <f>J28*(1+'Stanford MIT'!$B$8)</f>
        <v>98053.3141894078</v>
      </c>
      <c r="L29" s="3">
        <f>'Stanford MIT'!O29+F29+H29+J29</f>
        <v>1312894.0234441112</v>
      </c>
    </row>
    <row r="30" spans="1:12">
      <c r="D30">
        <v>2044</v>
      </c>
      <c r="F30" s="8">
        <f>F29*(1+'Stanford MIT'!$B$8)</f>
        <v>12195.842821695498</v>
      </c>
      <c r="H30" s="8">
        <f>H29*(1+'Stanford MIT'!$B$8)</f>
        <v>79625.302689203047</v>
      </c>
      <c r="J30" s="8">
        <f>J29*(1+'Stanford MIT'!$B$8)</f>
        <v>100014.38047319595</v>
      </c>
      <c r="L30" s="3">
        <f>'Stanford MIT'!O30+F30+H30+J30</f>
        <v>1339151.9039129938</v>
      </c>
    </row>
    <row r="31" spans="1:12">
      <c r="D31" s="40">
        <v>2045</v>
      </c>
      <c r="E31" s="40"/>
      <c r="F31" s="40"/>
      <c r="G31" s="40"/>
      <c r="H31" s="40"/>
      <c r="I31" s="40"/>
      <c r="J31" s="40"/>
      <c r="K31" s="40"/>
      <c r="L31" s="40"/>
    </row>
    <row r="33" spans="4:12">
      <c r="D33" s="32" t="s">
        <v>53</v>
      </c>
      <c r="F33" s="3">
        <f>SUMPRODUCT(F6:F31,'Stanford MIT'!$N6:$N31)</f>
        <v>111270.78624501202</v>
      </c>
      <c r="H33" s="3">
        <f>SUMPRODUCT(H6:H31,'Stanford MIT'!$N6:$N31)</f>
        <v>726474.59997298976</v>
      </c>
      <c r="J33" s="3">
        <f>SUMPRODUCT(J6:J31,'Stanford MIT'!$N6:$N31)</f>
        <v>912497.71858843567</v>
      </c>
      <c r="L33" s="3">
        <f>'Stanford MIT'!O34+F33+H33+J33</f>
        <v>12217973.569225455</v>
      </c>
    </row>
    <row r="34" spans="4:12">
      <c r="D34" s="32" t="s">
        <v>59</v>
      </c>
      <c r="L34" s="36"/>
    </row>
    <row r="35" spans="4:12">
      <c r="D35" s="32" t="s">
        <v>60</v>
      </c>
      <c r="F35" s="36">
        <f>F33/'Stanford MIT'!$N35/1000</f>
        <v>0.46474395487315817</v>
      </c>
      <c r="H35" s="36">
        <f>H33/'Stanford MIT'!$N35/1000</f>
        <v>3.0342616431496423</v>
      </c>
      <c r="J35" s="36">
        <f>J33/'Stanford MIT'!$N35/1000</f>
        <v>3.8112231688174489</v>
      </c>
      <c r="L35" s="36">
        <f>L33/'Stanford MIT'!$N35/1000</f>
        <v>51.030729167262393</v>
      </c>
    </row>
    <row r="36" spans="4:12">
      <c r="D36" s="32" t="s">
        <v>61</v>
      </c>
      <c r="F36" s="39">
        <f>F35/1.02^4</f>
        <v>0.42935157698303994</v>
      </c>
      <c r="H36" s="39">
        <f>H35/1.02^4</f>
        <v>2.8031887403914926</v>
      </c>
      <c r="J36" s="39">
        <f>J35/1.02^4</f>
        <v>3.5209810920782778</v>
      </c>
      <c r="L36" s="39">
        <f>L35/1.02^4</f>
        <v>47.14450572797319</v>
      </c>
    </row>
    <row r="37" spans="4:12" ht="17" thickBot="1">
      <c r="D37" s="42"/>
      <c r="E37" s="42"/>
      <c r="F37" s="44"/>
      <c r="G37" s="42"/>
      <c r="H37" s="44"/>
      <c r="I37" s="42"/>
      <c r="J37" s="44"/>
      <c r="K37" s="42"/>
      <c r="L37" s="42"/>
    </row>
    <row r="39" spans="4:12">
      <c r="D39" s="32" t="s">
        <v>104</v>
      </c>
      <c r="F39" s="39"/>
      <c r="H39" s="39"/>
      <c r="J39" s="39"/>
      <c r="L39" s="39">
        <f>F36+H36+J36</f>
        <v>6.7535214094528104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EC413-34FD-F34D-A598-AB30E8FE022F}">
  <dimension ref="A3:D34"/>
  <sheetViews>
    <sheetView workbookViewId="0">
      <selection activeCell="A9" sqref="A9:XFD16"/>
    </sheetView>
  </sheetViews>
  <sheetFormatPr baseColWidth="10" defaultRowHeight="16"/>
  <cols>
    <col min="1" max="1" width="36.33203125" customWidth="1"/>
    <col min="4" max="4" width="2.83203125" customWidth="1"/>
  </cols>
  <sheetData>
    <row r="3" spans="1:2">
      <c r="A3" t="s">
        <v>47</v>
      </c>
    </row>
    <row r="4" spans="1:2">
      <c r="A4" s="67" t="s">
        <v>120</v>
      </c>
      <c r="B4" s="3">
        <v>2048</v>
      </c>
    </row>
    <row r="5" spans="1:2">
      <c r="A5" s="67" t="s">
        <v>119</v>
      </c>
      <c r="B5" s="73">
        <f>B4/CEERT!K$37</f>
        <v>9.993674244228572</v>
      </c>
    </row>
    <row r="6" spans="1:2">
      <c r="A6" s="67" t="s">
        <v>122</v>
      </c>
      <c r="B6" s="73">
        <f>B5/CEERT!$B$4</f>
        <v>9.2326102397295475</v>
      </c>
    </row>
    <row r="7" spans="1:2">
      <c r="A7" s="67" t="s">
        <v>121</v>
      </c>
      <c r="B7" s="73">
        <f>B6-'Stanford MIT'!B17</f>
        <v>2.0735725981306219</v>
      </c>
    </row>
    <row r="9" spans="1:2">
      <c r="A9" s="74" t="s">
        <v>44</v>
      </c>
    </row>
    <row r="10" spans="1:2">
      <c r="A10" s="67" t="s">
        <v>123</v>
      </c>
      <c r="B10" s="3">
        <f>148</f>
        <v>148</v>
      </c>
    </row>
    <row r="11" spans="1:2">
      <c r="A11" s="67" t="s">
        <v>124</v>
      </c>
      <c r="B11" s="17">
        <f>(((1.0174*1.02))^(2020-2014))</f>
        <v>1.2489683420891489</v>
      </c>
    </row>
    <row r="12" spans="1:2">
      <c r="A12" s="67" t="s">
        <v>125</v>
      </c>
      <c r="B12" s="3">
        <f>B10*B11</f>
        <v>184.84731462919405</v>
      </c>
    </row>
    <row r="13" spans="1:2">
      <c r="A13" s="67" t="s">
        <v>126</v>
      </c>
      <c r="B13" s="17">
        <f>B12/50</f>
        <v>3.6969462925838807</v>
      </c>
    </row>
    <row r="14" spans="1:2">
      <c r="A14" s="67" t="s">
        <v>127</v>
      </c>
      <c r="B14" s="73">
        <f>B13*'Stanford MIT'!B21</f>
        <v>0.7720505529572963</v>
      </c>
    </row>
    <row r="15" spans="1:2">
      <c r="A15" s="67" t="s">
        <v>121</v>
      </c>
      <c r="B15" s="73">
        <f>B14-'Stanford MIT'!B21</f>
        <v>0.56321588459707717</v>
      </c>
    </row>
    <row r="17" spans="1:4">
      <c r="A17" t="s">
        <v>15</v>
      </c>
      <c r="C17" s="31"/>
      <c r="D17" s="25"/>
    </row>
    <row r="18" spans="1:4">
      <c r="A18" s="67" t="s">
        <v>120</v>
      </c>
      <c r="B18" s="3">
        <v>186</v>
      </c>
      <c r="C18" s="31"/>
      <c r="D18" s="25"/>
    </row>
    <row r="19" spans="1:4">
      <c r="A19" s="67" t="s">
        <v>119</v>
      </c>
      <c r="B19" s="73">
        <f>B18/CEERT!K$37</f>
        <v>0.90762861788404015</v>
      </c>
      <c r="C19" s="31"/>
      <c r="D19" s="25"/>
    </row>
    <row r="20" spans="1:4">
      <c r="A20" s="67" t="s">
        <v>122</v>
      </c>
      <c r="B20" s="73">
        <f>B19/CEERT!$B$4</f>
        <v>0.83850854716293732</v>
      </c>
      <c r="C20" s="31"/>
      <c r="D20" s="25"/>
    </row>
    <row r="21" spans="1:4">
      <c r="A21" s="67" t="s">
        <v>121</v>
      </c>
      <c r="B21" s="73">
        <f>B20</f>
        <v>0.83850854716293732</v>
      </c>
      <c r="C21" s="31"/>
      <c r="D21" s="25"/>
    </row>
    <row r="22" spans="1:4">
      <c r="B22" s="31"/>
      <c r="C22" s="31"/>
    </row>
    <row r="23" spans="1:4">
      <c r="B23" s="31"/>
      <c r="C23" s="31"/>
    </row>
    <row r="24" spans="1:4">
      <c r="B24" s="31"/>
      <c r="C24" s="31"/>
    </row>
    <row r="25" spans="1:4">
      <c r="B25" s="31"/>
      <c r="C25" s="31"/>
    </row>
    <row r="26" spans="1:4">
      <c r="B26" s="31"/>
      <c r="C26" s="31"/>
    </row>
    <row r="27" spans="1:4">
      <c r="B27" s="31"/>
      <c r="C27" s="31"/>
    </row>
    <row r="28" spans="1:4">
      <c r="B28" s="31"/>
      <c r="C28" s="31"/>
    </row>
    <row r="29" spans="1:4">
      <c r="B29" s="31"/>
      <c r="C29" s="31"/>
    </row>
    <row r="30" spans="1:4">
      <c r="B30" s="31"/>
      <c r="C30" s="31"/>
    </row>
    <row r="31" spans="1:4">
      <c r="B31" s="31"/>
      <c r="C31" s="31"/>
    </row>
    <row r="32" spans="1:4">
      <c r="B32" s="31"/>
      <c r="C32" s="31"/>
    </row>
    <row r="33" spans="2:3">
      <c r="B33" s="31"/>
      <c r="C33" s="31"/>
    </row>
    <row r="34" spans="2:3">
      <c r="B34" s="31"/>
      <c r="C34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3</vt:i4>
      </vt:variant>
    </vt:vector>
  </HeadingPairs>
  <TitlesOfParts>
    <vt:vector size="11" baseType="lpstr">
      <vt:lpstr>Chart 1 Data</vt:lpstr>
      <vt:lpstr>Stanford MIT</vt:lpstr>
      <vt:lpstr>CEERT</vt:lpstr>
      <vt:lpstr>Chart 2 Data</vt:lpstr>
      <vt:lpstr>Inflation Adjustment</vt:lpstr>
      <vt:lpstr>Chart 3 Data</vt:lpstr>
      <vt:lpstr>Alloc Overhead</vt:lpstr>
      <vt:lpstr>CashFlowItems</vt:lpstr>
      <vt:lpstr>Chart 1 Reconcil</vt:lpstr>
      <vt:lpstr>Chart 2 Total CF</vt:lpstr>
      <vt:lpstr>Chart 3 Fuel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Parsons</dc:creator>
  <cp:lastModifiedBy>John Parsons</cp:lastModifiedBy>
  <dcterms:created xsi:type="dcterms:W3CDTF">2021-11-18T15:47:35Z</dcterms:created>
  <dcterms:modified xsi:type="dcterms:W3CDTF">2021-12-17T20:04:27Z</dcterms:modified>
</cp:coreProperties>
</file>